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535" activeTab="0"/>
  </bookViews>
  <sheets>
    <sheet name="Sheet2" sheetId="1" r:id="rId1"/>
  </sheets>
  <definedNames/>
  <calcPr fullCalcOnLoad="1"/>
</workbook>
</file>

<file path=xl/sharedStrings.xml><?xml version="1.0" encoding="utf-8"?>
<sst xmlns="http://schemas.openxmlformats.org/spreadsheetml/2006/main" count="398" uniqueCount="264">
  <si>
    <t xml:space="preserve">a. </t>
  </si>
  <si>
    <t>=</t>
  </si>
  <si>
    <t>y=</t>
  </si>
  <si>
    <t>Price</t>
  </si>
  <si>
    <t>20 semiannually for 20 periods</t>
  </si>
  <si>
    <t>+</t>
  </si>
  <si>
    <t xml:space="preserve">b. </t>
  </si>
  <si>
    <t>45 semiannually for 20 periods</t>
  </si>
  <si>
    <t xml:space="preserve">c. </t>
  </si>
  <si>
    <t>d.</t>
  </si>
  <si>
    <t>e.</t>
  </si>
  <si>
    <t>3. Price of Zero Coupon Bonds with 1, 2, 3 years maturity</t>
  </si>
  <si>
    <t>Cash Flow</t>
  </si>
  <si>
    <t>PV</t>
  </si>
  <si>
    <t>Total PV</t>
  </si>
  <si>
    <t>n</t>
  </si>
  <si>
    <t>S</t>
  </si>
  <si>
    <t>t=1</t>
  </si>
  <si>
    <t>C/2</t>
  </si>
  <si>
    <t>F</t>
  </si>
  <si>
    <t>P =</t>
  </si>
  <si>
    <t>To find the yield of the two-year bond, we use the following formula and solver:</t>
  </si>
  <si>
    <t>9.375/2</t>
  </si>
  <si>
    <t>8.875/2</t>
  </si>
  <si>
    <t xml:space="preserve">Treasury strip is a zero coupon bond with face value of 100. </t>
  </si>
  <si>
    <t>Bond A</t>
  </si>
  <si>
    <t>Bond B</t>
  </si>
  <si>
    <t>Bond C</t>
  </si>
  <si>
    <t>The expected future spot rates are the same as the forward rates if expectation hypothesis holds.</t>
  </si>
  <si>
    <t>4% coupon :</t>
  </si>
  <si>
    <t>9% coupon :</t>
  </si>
  <si>
    <t>t</t>
  </si>
  <si>
    <t xml:space="preserve">PV( bond) = </t>
  </si>
  <si>
    <t>PV( bond) =</t>
  </si>
  <si>
    <t>Given the spot and forwards rates in problem 4, and the cash flow pattern, we should do the following:</t>
  </si>
  <si>
    <t>$100 million in t = 4</t>
  </si>
  <si>
    <t>$107 in t = 5</t>
  </si>
  <si>
    <t>for 4 periods</t>
  </si>
  <si>
    <t>a.</t>
  </si>
  <si>
    <t>b.</t>
  </si>
  <si>
    <t>c.</t>
  </si>
  <si>
    <t>Invest PV of $100 now</t>
  </si>
  <si>
    <t xml:space="preserve">Borrow PV of $100 now </t>
  </si>
  <si>
    <t>So, the company will be able to pay off $107 million and have $1.21 million left by the end of period 5.</t>
  </si>
  <si>
    <t>In order to lock in the interest rate at which the company can invest at t =4, it has to invest for</t>
  </si>
  <si>
    <t xml:space="preserve"> a longer maturity than 4 periods.</t>
  </si>
  <si>
    <t>Use the spot rates in problem 4, we can check whether the two bonds are priced correctly by:</t>
  </si>
  <si>
    <t>t = 1</t>
  </si>
  <si>
    <t>Yield to Maturity for Bond A:</t>
  </si>
  <si>
    <t>1334.35 =</t>
  </si>
  <si>
    <t>Yield to Maturity for Bond B:</t>
  </si>
  <si>
    <r>
      <t>(1+y/2)</t>
    </r>
    <r>
      <rPr>
        <b/>
        <vertAlign val="superscript"/>
        <sz val="10"/>
        <rFont val="Book Antiqua"/>
        <family val="1"/>
      </rPr>
      <t>t</t>
    </r>
  </si>
  <si>
    <r>
      <t>(1+y/2)</t>
    </r>
    <r>
      <rPr>
        <b/>
        <vertAlign val="superscript"/>
        <sz val="10"/>
        <rFont val="Book Antiqua"/>
        <family val="1"/>
      </rPr>
      <t>n</t>
    </r>
  </si>
  <si>
    <r>
      <t>r</t>
    </r>
    <r>
      <rPr>
        <vertAlign val="subscript"/>
        <sz val="10"/>
        <rFont val="Book Antiqua"/>
        <family val="1"/>
      </rPr>
      <t>1</t>
    </r>
    <r>
      <rPr>
        <sz val="10"/>
        <rFont val="Book Antiqua"/>
        <family val="1"/>
      </rPr>
      <t>=</t>
    </r>
  </si>
  <si>
    <r>
      <t>r</t>
    </r>
    <r>
      <rPr>
        <vertAlign val="subscript"/>
        <sz val="10"/>
        <rFont val="Book Antiqua"/>
        <family val="1"/>
      </rPr>
      <t>2</t>
    </r>
    <r>
      <rPr>
        <sz val="10"/>
        <rFont val="Book Antiqua"/>
        <family val="1"/>
      </rPr>
      <t>=</t>
    </r>
  </si>
  <si>
    <r>
      <t>r</t>
    </r>
    <r>
      <rPr>
        <vertAlign val="subscript"/>
        <sz val="10"/>
        <rFont val="Book Antiqua"/>
        <family val="1"/>
      </rPr>
      <t>3</t>
    </r>
    <r>
      <rPr>
        <sz val="10"/>
        <rFont val="Book Antiqua"/>
        <family val="1"/>
      </rPr>
      <t>=</t>
    </r>
  </si>
  <si>
    <r>
      <t>r</t>
    </r>
    <r>
      <rPr>
        <vertAlign val="subscript"/>
        <sz val="10"/>
        <rFont val="Book Antiqua"/>
        <family val="1"/>
      </rPr>
      <t>4</t>
    </r>
    <r>
      <rPr>
        <sz val="10"/>
        <rFont val="Book Antiqua"/>
        <family val="1"/>
      </rPr>
      <t>=</t>
    </r>
  </si>
  <si>
    <r>
      <t>r</t>
    </r>
    <r>
      <rPr>
        <vertAlign val="subscript"/>
        <sz val="10"/>
        <rFont val="Book Antiqua"/>
        <family val="1"/>
      </rPr>
      <t>5</t>
    </r>
    <r>
      <rPr>
        <sz val="10"/>
        <rFont val="Book Antiqua"/>
        <family val="1"/>
      </rPr>
      <t>=</t>
    </r>
  </si>
  <si>
    <r>
      <t>f</t>
    </r>
    <r>
      <rPr>
        <b/>
        <vertAlign val="subscript"/>
        <sz val="10"/>
        <rFont val="Book Antiqua"/>
        <family val="1"/>
      </rPr>
      <t>1</t>
    </r>
    <r>
      <rPr>
        <b/>
        <sz val="10"/>
        <rFont val="Book Antiqua"/>
        <family val="1"/>
      </rPr>
      <t>=r</t>
    </r>
    <r>
      <rPr>
        <b/>
        <vertAlign val="subscript"/>
        <sz val="10"/>
        <rFont val="Book Antiqua"/>
        <family val="1"/>
      </rPr>
      <t>1</t>
    </r>
  </si>
  <si>
    <r>
      <t>so, f</t>
    </r>
    <r>
      <rPr>
        <b/>
        <vertAlign val="subscript"/>
        <sz val="10"/>
        <rFont val="Book Antiqua"/>
        <family val="1"/>
      </rPr>
      <t>1</t>
    </r>
    <r>
      <rPr>
        <b/>
        <sz val="10"/>
        <rFont val="Book Antiqua"/>
        <family val="1"/>
      </rPr>
      <t xml:space="preserve"> = </t>
    </r>
  </si>
  <si>
    <r>
      <t>(1+r</t>
    </r>
    <r>
      <rPr>
        <vertAlign val="subscript"/>
        <sz val="9"/>
        <rFont val="Book Antiqua"/>
        <family val="1"/>
      </rPr>
      <t>2</t>
    </r>
    <r>
      <rPr>
        <sz val="9"/>
        <rFont val="Book Antiqua"/>
        <family val="1"/>
      </rPr>
      <t>)</t>
    </r>
    <r>
      <rPr>
        <vertAlign val="superscript"/>
        <sz val="9"/>
        <rFont val="Book Antiqua"/>
        <family val="1"/>
      </rPr>
      <t>2</t>
    </r>
    <r>
      <rPr>
        <sz val="9"/>
        <rFont val="Book Antiqua"/>
        <family val="1"/>
      </rPr>
      <t>=</t>
    </r>
  </si>
  <si>
    <r>
      <t>(1+r</t>
    </r>
    <r>
      <rPr>
        <vertAlign val="subscript"/>
        <sz val="9"/>
        <rFont val="Book Antiqua"/>
        <family val="1"/>
      </rPr>
      <t>1</t>
    </r>
    <r>
      <rPr>
        <sz val="9"/>
        <rFont val="Book Antiqua"/>
        <family val="1"/>
      </rPr>
      <t>)x(1+f</t>
    </r>
    <r>
      <rPr>
        <vertAlign val="subscript"/>
        <sz val="9"/>
        <rFont val="Book Antiqua"/>
        <family val="1"/>
      </rPr>
      <t>2</t>
    </r>
    <r>
      <rPr>
        <sz val="9"/>
        <rFont val="Book Antiqua"/>
        <family val="1"/>
      </rPr>
      <t>)</t>
    </r>
  </si>
  <si>
    <r>
      <t>so, f</t>
    </r>
    <r>
      <rPr>
        <b/>
        <vertAlign val="subscript"/>
        <sz val="10"/>
        <rFont val="Book Antiqua"/>
        <family val="1"/>
      </rPr>
      <t>2</t>
    </r>
    <r>
      <rPr>
        <b/>
        <sz val="10"/>
        <rFont val="Book Antiqua"/>
        <family val="1"/>
      </rPr>
      <t xml:space="preserve"> = </t>
    </r>
  </si>
  <si>
    <r>
      <t>(1+0.062)</t>
    </r>
    <r>
      <rPr>
        <vertAlign val="superscript"/>
        <sz val="10"/>
        <rFont val="Book Antiqua"/>
        <family val="1"/>
      </rPr>
      <t>2</t>
    </r>
    <r>
      <rPr>
        <sz val="10"/>
        <rFont val="Book Antiqua"/>
        <family val="1"/>
      </rPr>
      <t>/(1+0.06)-1</t>
    </r>
  </si>
  <si>
    <r>
      <t>(1+r</t>
    </r>
    <r>
      <rPr>
        <vertAlign val="subscript"/>
        <sz val="9"/>
        <rFont val="Book Antiqua"/>
        <family val="1"/>
      </rPr>
      <t>3</t>
    </r>
    <r>
      <rPr>
        <sz val="9"/>
        <rFont val="Book Antiqua"/>
        <family val="1"/>
      </rPr>
      <t>)</t>
    </r>
    <r>
      <rPr>
        <vertAlign val="superscript"/>
        <sz val="9"/>
        <rFont val="Book Antiqua"/>
        <family val="1"/>
      </rPr>
      <t>3</t>
    </r>
    <r>
      <rPr>
        <sz val="9"/>
        <rFont val="Book Antiqua"/>
        <family val="1"/>
      </rPr>
      <t>=</t>
    </r>
  </si>
  <si>
    <r>
      <t>(1+r</t>
    </r>
    <r>
      <rPr>
        <vertAlign val="subscript"/>
        <sz val="9"/>
        <rFont val="Book Antiqua"/>
        <family val="1"/>
      </rPr>
      <t>1</t>
    </r>
    <r>
      <rPr>
        <sz val="9"/>
        <rFont val="Book Antiqua"/>
        <family val="1"/>
      </rPr>
      <t>)x(1+f</t>
    </r>
    <r>
      <rPr>
        <vertAlign val="subscript"/>
        <sz val="9"/>
        <rFont val="Book Antiqua"/>
        <family val="1"/>
      </rPr>
      <t>2</t>
    </r>
    <r>
      <rPr>
        <sz val="9"/>
        <rFont val="Book Antiqua"/>
        <family val="1"/>
      </rPr>
      <t>)x(1+f</t>
    </r>
    <r>
      <rPr>
        <vertAlign val="subscript"/>
        <sz val="9"/>
        <rFont val="Book Antiqua"/>
        <family val="1"/>
      </rPr>
      <t>3</t>
    </r>
    <r>
      <rPr>
        <sz val="9"/>
        <rFont val="Book Antiqua"/>
        <family val="1"/>
      </rPr>
      <t>)</t>
    </r>
  </si>
  <si>
    <r>
      <t>so, f</t>
    </r>
    <r>
      <rPr>
        <b/>
        <vertAlign val="subscript"/>
        <sz val="10"/>
        <rFont val="Book Antiqua"/>
        <family val="1"/>
      </rPr>
      <t>3</t>
    </r>
    <r>
      <rPr>
        <b/>
        <sz val="10"/>
        <rFont val="Book Antiqua"/>
        <family val="1"/>
      </rPr>
      <t xml:space="preserve"> = </t>
    </r>
  </si>
  <si>
    <r>
      <t>(1+0.065)</t>
    </r>
    <r>
      <rPr>
        <vertAlign val="superscript"/>
        <sz val="10"/>
        <rFont val="Book Antiqua"/>
        <family val="1"/>
      </rPr>
      <t>3</t>
    </r>
    <r>
      <rPr>
        <sz val="10"/>
        <rFont val="Book Antiqua"/>
        <family val="1"/>
      </rPr>
      <t>/((1+0.06)x(1+0.064))-1</t>
    </r>
  </si>
  <si>
    <r>
      <t>(1+r</t>
    </r>
    <r>
      <rPr>
        <vertAlign val="subscript"/>
        <sz val="9"/>
        <rFont val="Book Antiqua"/>
        <family val="1"/>
      </rPr>
      <t>4</t>
    </r>
    <r>
      <rPr>
        <sz val="9"/>
        <rFont val="Book Antiqua"/>
        <family val="1"/>
      </rPr>
      <t>)</t>
    </r>
    <r>
      <rPr>
        <vertAlign val="superscript"/>
        <sz val="9"/>
        <rFont val="Book Antiqua"/>
        <family val="1"/>
      </rPr>
      <t>4</t>
    </r>
    <r>
      <rPr>
        <sz val="9"/>
        <rFont val="Book Antiqua"/>
        <family val="1"/>
      </rPr>
      <t>=</t>
    </r>
  </si>
  <si>
    <r>
      <t>(1+r</t>
    </r>
    <r>
      <rPr>
        <vertAlign val="subscript"/>
        <sz val="9"/>
        <rFont val="Book Antiqua"/>
        <family val="1"/>
      </rPr>
      <t>1</t>
    </r>
    <r>
      <rPr>
        <sz val="9"/>
        <rFont val="Book Antiqua"/>
        <family val="1"/>
      </rPr>
      <t>)x(1+f</t>
    </r>
    <r>
      <rPr>
        <vertAlign val="subscript"/>
        <sz val="9"/>
        <rFont val="Book Antiqua"/>
        <family val="1"/>
      </rPr>
      <t>2</t>
    </r>
    <r>
      <rPr>
        <sz val="9"/>
        <rFont val="Book Antiqua"/>
        <family val="1"/>
      </rPr>
      <t>)x(1+f</t>
    </r>
    <r>
      <rPr>
        <vertAlign val="subscript"/>
        <sz val="9"/>
        <rFont val="Book Antiqua"/>
        <family val="1"/>
      </rPr>
      <t>3</t>
    </r>
    <r>
      <rPr>
        <sz val="9"/>
        <rFont val="Book Antiqua"/>
        <family val="1"/>
      </rPr>
      <t>)x(1+f</t>
    </r>
    <r>
      <rPr>
        <vertAlign val="subscript"/>
        <sz val="9"/>
        <rFont val="Book Antiqua"/>
        <family val="1"/>
      </rPr>
      <t>4</t>
    </r>
    <r>
      <rPr>
        <sz val="9"/>
        <rFont val="Book Antiqua"/>
        <family val="1"/>
      </rPr>
      <t>)</t>
    </r>
  </si>
  <si>
    <r>
      <t>so, f</t>
    </r>
    <r>
      <rPr>
        <b/>
        <vertAlign val="subscript"/>
        <sz val="10"/>
        <rFont val="Book Antiqua"/>
        <family val="1"/>
      </rPr>
      <t>4</t>
    </r>
    <r>
      <rPr>
        <b/>
        <sz val="10"/>
        <rFont val="Book Antiqua"/>
        <family val="1"/>
      </rPr>
      <t xml:space="preserve"> = </t>
    </r>
  </si>
  <si>
    <r>
      <t>(1+0.067)</t>
    </r>
    <r>
      <rPr>
        <vertAlign val="superscript"/>
        <sz val="10"/>
        <rFont val="Book Antiqua"/>
        <family val="1"/>
      </rPr>
      <t>4</t>
    </r>
    <r>
      <rPr>
        <sz val="10"/>
        <rFont val="Book Antiqua"/>
        <family val="1"/>
      </rPr>
      <t>/((1+0.06)x(1+0.064)x(1+0.071))-1</t>
    </r>
  </si>
  <si>
    <r>
      <t>(1+r</t>
    </r>
    <r>
      <rPr>
        <vertAlign val="subscript"/>
        <sz val="9"/>
        <rFont val="Book Antiqua"/>
        <family val="1"/>
      </rPr>
      <t>5</t>
    </r>
    <r>
      <rPr>
        <sz val="9"/>
        <rFont val="Book Antiqua"/>
        <family val="1"/>
      </rPr>
      <t>)</t>
    </r>
    <r>
      <rPr>
        <vertAlign val="superscript"/>
        <sz val="9"/>
        <rFont val="Book Antiqua"/>
        <family val="1"/>
      </rPr>
      <t>5</t>
    </r>
    <r>
      <rPr>
        <sz val="9"/>
        <rFont val="Book Antiqua"/>
        <family val="1"/>
      </rPr>
      <t>=</t>
    </r>
  </si>
  <si>
    <r>
      <t>(1+r</t>
    </r>
    <r>
      <rPr>
        <vertAlign val="subscript"/>
        <sz val="9"/>
        <rFont val="Book Antiqua"/>
        <family val="1"/>
      </rPr>
      <t>1</t>
    </r>
    <r>
      <rPr>
        <sz val="9"/>
        <rFont val="Book Antiqua"/>
        <family val="1"/>
      </rPr>
      <t>)x(1+f</t>
    </r>
    <r>
      <rPr>
        <vertAlign val="subscript"/>
        <sz val="9"/>
        <rFont val="Book Antiqua"/>
        <family val="1"/>
      </rPr>
      <t>2</t>
    </r>
    <r>
      <rPr>
        <sz val="9"/>
        <rFont val="Book Antiqua"/>
        <family val="1"/>
      </rPr>
      <t>)x(1+f</t>
    </r>
    <r>
      <rPr>
        <vertAlign val="subscript"/>
        <sz val="9"/>
        <rFont val="Book Antiqua"/>
        <family val="1"/>
      </rPr>
      <t>3</t>
    </r>
    <r>
      <rPr>
        <sz val="9"/>
        <rFont val="Book Antiqua"/>
        <family val="1"/>
      </rPr>
      <t>)x(1+f</t>
    </r>
    <r>
      <rPr>
        <vertAlign val="subscript"/>
        <sz val="9"/>
        <rFont val="Book Antiqua"/>
        <family val="1"/>
      </rPr>
      <t>4</t>
    </r>
    <r>
      <rPr>
        <sz val="9"/>
        <rFont val="Book Antiqua"/>
        <family val="1"/>
      </rPr>
      <t>)x(1+f</t>
    </r>
    <r>
      <rPr>
        <vertAlign val="subscript"/>
        <sz val="9"/>
        <rFont val="Book Antiqua"/>
        <family val="1"/>
      </rPr>
      <t>5</t>
    </r>
    <r>
      <rPr>
        <sz val="9"/>
        <rFont val="Book Antiqua"/>
        <family val="1"/>
      </rPr>
      <t>)</t>
    </r>
  </si>
  <si>
    <r>
      <t>so, f</t>
    </r>
    <r>
      <rPr>
        <b/>
        <vertAlign val="subscript"/>
        <sz val="10"/>
        <rFont val="Book Antiqua"/>
        <family val="1"/>
      </rPr>
      <t>5</t>
    </r>
    <r>
      <rPr>
        <b/>
        <sz val="10"/>
        <rFont val="Book Antiqua"/>
        <family val="1"/>
      </rPr>
      <t xml:space="preserve"> = </t>
    </r>
  </si>
  <si>
    <r>
      <t>(1+0.07)</t>
    </r>
    <r>
      <rPr>
        <vertAlign val="superscript"/>
        <sz val="10"/>
        <rFont val="Book Antiqua"/>
        <family val="1"/>
      </rPr>
      <t>5</t>
    </r>
    <r>
      <rPr>
        <sz val="10"/>
        <rFont val="Book Antiqua"/>
        <family val="1"/>
      </rPr>
      <t>/((1+0.06)x(1+0.064)x(1+0.071)x(1+0.0731))-1</t>
    </r>
  </si>
  <si>
    <t xml:space="preserve">P =  </t>
  </si>
  <si>
    <r>
      <t>(1+ r</t>
    </r>
    <r>
      <rPr>
        <vertAlign val="subscript"/>
        <sz val="10"/>
        <rFont val="Book Antiqua"/>
        <family val="1"/>
      </rPr>
      <t>t</t>
    </r>
    <r>
      <rPr>
        <sz val="10"/>
        <rFont val="Book Antiqua"/>
        <family val="1"/>
      </rPr>
      <t>)</t>
    </r>
    <r>
      <rPr>
        <vertAlign val="superscript"/>
        <sz val="10"/>
        <rFont val="Book Antiqua"/>
        <family val="1"/>
      </rPr>
      <t>t</t>
    </r>
  </si>
  <si>
    <r>
      <t>(1+ r</t>
    </r>
    <r>
      <rPr>
        <vertAlign val="subscript"/>
        <sz val="10"/>
        <rFont val="Book Antiqua"/>
        <family val="1"/>
      </rPr>
      <t>5</t>
    </r>
    <r>
      <rPr>
        <sz val="10"/>
        <rFont val="Book Antiqua"/>
        <family val="1"/>
      </rPr>
      <t>)</t>
    </r>
    <r>
      <rPr>
        <vertAlign val="superscript"/>
        <sz val="10"/>
        <rFont val="Book Antiqua"/>
        <family val="1"/>
      </rPr>
      <t>5</t>
    </r>
  </si>
  <si>
    <r>
      <t>y</t>
    </r>
    <r>
      <rPr>
        <vertAlign val="subscript"/>
        <sz val="10"/>
        <rFont val="Book Antiqua"/>
        <family val="1"/>
      </rPr>
      <t>A</t>
    </r>
    <r>
      <rPr>
        <sz val="10"/>
        <rFont val="Book Antiqua"/>
        <family val="1"/>
      </rPr>
      <t xml:space="preserve"> = </t>
    </r>
  </si>
  <si>
    <r>
      <t>(1+ y</t>
    </r>
    <r>
      <rPr>
        <vertAlign val="subscript"/>
        <sz val="10"/>
        <rFont val="Book Antiqua"/>
        <family val="1"/>
      </rPr>
      <t>A</t>
    </r>
    <r>
      <rPr>
        <sz val="10"/>
        <rFont val="Book Antiqua"/>
        <family val="1"/>
      </rPr>
      <t>)</t>
    </r>
    <r>
      <rPr>
        <vertAlign val="superscript"/>
        <sz val="10"/>
        <rFont val="Book Antiqua"/>
        <family val="1"/>
      </rPr>
      <t>t</t>
    </r>
  </si>
  <si>
    <r>
      <t>(1+ y</t>
    </r>
    <r>
      <rPr>
        <vertAlign val="subscript"/>
        <sz val="10"/>
        <rFont val="Book Antiqua"/>
        <family val="1"/>
      </rPr>
      <t>A</t>
    </r>
    <r>
      <rPr>
        <sz val="10"/>
        <rFont val="Book Antiqua"/>
        <family val="1"/>
      </rPr>
      <t>)</t>
    </r>
    <r>
      <rPr>
        <vertAlign val="superscript"/>
        <sz val="10"/>
        <rFont val="Book Antiqua"/>
        <family val="1"/>
      </rPr>
      <t>5</t>
    </r>
  </si>
  <si>
    <r>
      <t>y</t>
    </r>
    <r>
      <rPr>
        <vertAlign val="subscript"/>
        <sz val="10"/>
        <rFont val="Book Antiqua"/>
        <family val="1"/>
      </rPr>
      <t>B</t>
    </r>
    <r>
      <rPr>
        <sz val="10"/>
        <rFont val="Book Antiqua"/>
        <family val="1"/>
      </rPr>
      <t xml:space="preserve"> = </t>
    </r>
  </si>
  <si>
    <r>
      <t>(1+ y</t>
    </r>
    <r>
      <rPr>
        <vertAlign val="subscript"/>
        <sz val="10"/>
        <rFont val="Book Antiqua"/>
        <family val="1"/>
      </rPr>
      <t>B</t>
    </r>
    <r>
      <rPr>
        <sz val="10"/>
        <rFont val="Book Antiqua"/>
        <family val="1"/>
      </rPr>
      <t>)</t>
    </r>
    <r>
      <rPr>
        <vertAlign val="superscript"/>
        <sz val="10"/>
        <rFont val="Book Antiqua"/>
        <family val="1"/>
      </rPr>
      <t>t</t>
    </r>
  </si>
  <si>
    <r>
      <t>(1+ y</t>
    </r>
    <r>
      <rPr>
        <vertAlign val="subscript"/>
        <sz val="10"/>
        <rFont val="Book Antiqua"/>
        <family val="1"/>
      </rPr>
      <t>B</t>
    </r>
    <r>
      <rPr>
        <sz val="10"/>
        <rFont val="Book Antiqua"/>
        <family val="1"/>
      </rPr>
      <t>)</t>
    </r>
    <r>
      <rPr>
        <vertAlign val="superscript"/>
        <sz val="10"/>
        <rFont val="Book Antiqua"/>
        <family val="1"/>
      </rPr>
      <t>5</t>
    </r>
  </si>
  <si>
    <t>Aug. 99</t>
  </si>
  <si>
    <t>Maturity</t>
  </si>
  <si>
    <t>Spot Rate</t>
  </si>
  <si>
    <t xml:space="preserve"># of Period </t>
  </si>
  <si>
    <t>Since all US treasury securities are compounded semiannually, we therefore define one period as half a year.</t>
  </si>
  <si>
    <t>Annualized</t>
  </si>
  <si>
    <t>Forward Rate</t>
  </si>
  <si>
    <t>To calculate Spot Rates:</t>
  </si>
  <si>
    <r>
      <t>P</t>
    </r>
    <r>
      <rPr>
        <vertAlign val="subscript"/>
        <sz val="10"/>
        <rFont val="Book Antiqua"/>
        <family val="1"/>
      </rPr>
      <t xml:space="preserve">t </t>
    </r>
    <r>
      <rPr>
        <sz val="10"/>
        <rFont val="Book Antiqua"/>
        <family val="1"/>
      </rPr>
      <t>= 100/(1+r</t>
    </r>
    <r>
      <rPr>
        <vertAlign val="subscript"/>
        <sz val="10"/>
        <rFont val="Book Antiqua"/>
        <family val="1"/>
      </rPr>
      <t>t</t>
    </r>
    <r>
      <rPr>
        <sz val="10"/>
        <rFont val="Book Antiqua"/>
        <family val="1"/>
      </rPr>
      <t>)</t>
    </r>
    <r>
      <rPr>
        <vertAlign val="superscript"/>
        <sz val="10"/>
        <rFont val="Book Antiqua"/>
        <family val="1"/>
      </rPr>
      <t>t</t>
    </r>
  </si>
  <si>
    <t>To calculate Forward Rates:</t>
  </si>
  <si>
    <r>
      <t>(1+r</t>
    </r>
    <r>
      <rPr>
        <vertAlign val="subscript"/>
        <sz val="10"/>
        <rFont val="Book Antiqua"/>
        <family val="1"/>
      </rPr>
      <t>t-1</t>
    </r>
    <r>
      <rPr>
        <sz val="10"/>
        <rFont val="Book Antiqua"/>
        <family val="1"/>
      </rPr>
      <t>)</t>
    </r>
    <r>
      <rPr>
        <vertAlign val="superscript"/>
        <sz val="10"/>
        <rFont val="Book Antiqua"/>
        <family val="1"/>
      </rPr>
      <t>t-1</t>
    </r>
    <r>
      <rPr>
        <sz val="10"/>
        <rFont val="Book Antiqua"/>
        <family val="1"/>
      </rPr>
      <t>x(1+f</t>
    </r>
    <r>
      <rPr>
        <vertAlign val="subscript"/>
        <sz val="10"/>
        <rFont val="Book Antiqua"/>
        <family val="1"/>
      </rPr>
      <t>t</t>
    </r>
    <r>
      <rPr>
        <sz val="10"/>
        <rFont val="Book Antiqua"/>
        <family val="1"/>
      </rPr>
      <t>) = (1+r</t>
    </r>
    <r>
      <rPr>
        <vertAlign val="subscript"/>
        <sz val="10"/>
        <rFont val="Book Antiqua"/>
        <family val="1"/>
      </rPr>
      <t>t</t>
    </r>
    <r>
      <rPr>
        <sz val="10"/>
        <rFont val="Book Antiqua"/>
        <family val="1"/>
      </rPr>
      <t>)</t>
    </r>
    <r>
      <rPr>
        <vertAlign val="superscript"/>
        <sz val="10"/>
        <rFont val="Book Antiqua"/>
        <family val="1"/>
      </rPr>
      <t>t</t>
    </r>
  </si>
  <si>
    <t>A.</t>
  </si>
  <si>
    <t>B.</t>
  </si>
  <si>
    <t>C.</t>
  </si>
  <si>
    <t>D.</t>
  </si>
  <si>
    <t>E.</t>
  </si>
  <si>
    <t>F.</t>
  </si>
  <si>
    <t>G.</t>
  </si>
  <si>
    <t>Bond</t>
  </si>
  <si>
    <r>
      <t>C</t>
    </r>
    <r>
      <rPr>
        <b/>
        <vertAlign val="subscript"/>
        <sz val="10"/>
        <rFont val="Book Antiqua"/>
        <family val="1"/>
      </rPr>
      <t>1</t>
    </r>
  </si>
  <si>
    <r>
      <t>C</t>
    </r>
    <r>
      <rPr>
        <b/>
        <vertAlign val="subscript"/>
        <sz val="10"/>
        <rFont val="Book Antiqua"/>
        <family val="1"/>
      </rPr>
      <t>2</t>
    </r>
  </si>
  <si>
    <r>
      <t>C</t>
    </r>
    <r>
      <rPr>
        <b/>
        <vertAlign val="subscript"/>
        <sz val="10"/>
        <rFont val="Book Antiqua"/>
        <family val="1"/>
      </rPr>
      <t>3</t>
    </r>
  </si>
  <si>
    <r>
      <t>C</t>
    </r>
    <r>
      <rPr>
        <b/>
        <vertAlign val="subscript"/>
        <sz val="10"/>
        <rFont val="Book Antiqua"/>
        <family val="1"/>
      </rPr>
      <t>4</t>
    </r>
  </si>
  <si>
    <t>The price and cash flow pattern of each bond is as follows:</t>
  </si>
  <si>
    <t>Opportunity 1</t>
  </si>
  <si>
    <t>Bond B, C, and D</t>
  </si>
  <si>
    <t>D - PV(C4=1000)</t>
  </si>
  <si>
    <t>2B -D</t>
  </si>
  <si>
    <t xml:space="preserve">So, </t>
  </si>
  <si>
    <t xml:space="preserve">PV(B) = </t>
  </si>
  <si>
    <t>2.7654*50 + 704.03 =</t>
  </si>
  <si>
    <t>PV(C)=</t>
  </si>
  <si>
    <t>2.7654*120 + 704.03 =</t>
  </si>
  <si>
    <t>PV(D)=</t>
  </si>
  <si>
    <t>2.7654*100 + 704.03 =</t>
  </si>
  <si>
    <t>Opportunity 2</t>
  </si>
  <si>
    <t>Bond A, E, and F</t>
  </si>
  <si>
    <t>So,</t>
  </si>
  <si>
    <t>A+E</t>
  </si>
  <si>
    <t>2F</t>
  </si>
  <si>
    <t>Show that</t>
  </si>
  <si>
    <t>P</t>
  </si>
  <si>
    <t>dP</t>
  </si>
  <si>
    <t>dy</t>
  </si>
  <si>
    <t>1 dP</t>
  </si>
  <si>
    <t>P dy</t>
  </si>
  <si>
    <t>-D</t>
  </si>
  <si>
    <t>1+y</t>
  </si>
  <si>
    <t xml:space="preserve">P = </t>
  </si>
  <si>
    <t xml:space="preserve">t =1 </t>
  </si>
  <si>
    <r>
      <t>C</t>
    </r>
    <r>
      <rPr>
        <vertAlign val="subscript"/>
        <sz val="10"/>
        <rFont val="Book Antiqua"/>
        <family val="1"/>
      </rPr>
      <t>t</t>
    </r>
  </si>
  <si>
    <r>
      <t>(1+y)</t>
    </r>
    <r>
      <rPr>
        <vertAlign val="superscript"/>
        <sz val="10"/>
        <rFont val="Book Antiqua"/>
        <family val="1"/>
      </rPr>
      <t>t</t>
    </r>
  </si>
  <si>
    <r>
      <t>(1+y)</t>
    </r>
    <r>
      <rPr>
        <vertAlign val="superscript"/>
        <sz val="10"/>
        <rFont val="Book Antiqua"/>
        <family val="1"/>
      </rPr>
      <t>t+1</t>
    </r>
  </si>
  <si>
    <t>Since:</t>
  </si>
  <si>
    <t>(1+y)</t>
  </si>
  <si>
    <t xml:space="preserve">Given that </t>
  </si>
  <si>
    <t xml:space="preserve">D = </t>
  </si>
  <si>
    <r>
      <t>tC</t>
    </r>
    <r>
      <rPr>
        <vertAlign val="subscript"/>
        <sz val="10"/>
        <rFont val="Book Antiqua"/>
        <family val="1"/>
      </rPr>
      <t>t</t>
    </r>
  </si>
  <si>
    <r>
      <t>(1+y)</t>
    </r>
    <r>
      <rPr>
        <vertAlign val="superscript"/>
        <sz val="10"/>
        <rFont val="Book Antiqua"/>
        <family val="1"/>
      </rPr>
      <t>t</t>
    </r>
    <r>
      <rPr>
        <sz val="10"/>
        <rFont val="Book Antiqua"/>
        <family val="1"/>
      </rPr>
      <t>P</t>
    </r>
  </si>
  <si>
    <t>So we have</t>
  </si>
  <si>
    <t>- DP</t>
  </si>
  <si>
    <t>- tCt</t>
  </si>
  <si>
    <t>Then,</t>
  </si>
  <si>
    <t>D</t>
  </si>
  <si>
    <t>The price of a perpetuity is:</t>
  </si>
  <si>
    <t>C</t>
  </si>
  <si>
    <t>y</t>
  </si>
  <si>
    <t>By definition, the duration of a bond is:</t>
  </si>
  <si>
    <t>For the perpetuity, dP/dy is:</t>
  </si>
  <si>
    <t>y2</t>
  </si>
  <si>
    <r>
      <t>y</t>
    </r>
    <r>
      <rPr>
        <vertAlign val="superscript"/>
        <sz val="10"/>
        <rFont val="Book Antiqua"/>
        <family val="1"/>
      </rPr>
      <t>2</t>
    </r>
  </si>
  <si>
    <t xml:space="preserve">(1+y) </t>
  </si>
  <si>
    <t>So, we can calculate the Forward FX Rate as follows:</t>
  </si>
  <si>
    <t xml:space="preserve">Pulgas forward FX Rate = </t>
  </si>
  <si>
    <t>Ruple forward FX Rate =</t>
  </si>
  <si>
    <t>Pint forward FX Rate =</t>
  </si>
  <si>
    <t>Wasp forward FX Rate =</t>
  </si>
  <si>
    <t xml:space="preserve">*Forward FX Rate = </t>
  </si>
  <si>
    <t>* All FX rates are denominated in US$.</t>
  </si>
  <si>
    <t>1000x(1+23%)/(1+3%) =</t>
  </si>
  <si>
    <t>17.1x(1+8%)/(1+3%) =</t>
  </si>
  <si>
    <t>2.3x(1+4.1%)/(1+3%) =</t>
  </si>
  <si>
    <t>2.6x(1+5%)/(1+3%) =</t>
  </si>
  <si>
    <t>P/$</t>
  </si>
  <si>
    <t>R/$</t>
  </si>
  <si>
    <t>W/$</t>
  </si>
  <si>
    <t>Bond Price</t>
  </si>
  <si>
    <t>Weight</t>
  </si>
  <si>
    <t>Time to Payment                (in year)</t>
  </si>
  <si>
    <t>Result</t>
  </si>
  <si>
    <t>Payment discount at 9% Annually</t>
  </si>
  <si>
    <t>Duration of the contract = 2.83 years</t>
  </si>
  <si>
    <t>Modified Duration = D/(1+y) = 2.83/(1+0.09) =</t>
  </si>
  <si>
    <r>
      <t>(coupon</t>
    </r>
    <r>
      <rPr>
        <sz val="10"/>
        <rFont val="Book Antiqua"/>
        <family val="1"/>
      </rPr>
      <t xml:space="preserve"> x</t>
    </r>
    <r>
      <rPr>
        <i/>
        <sz val="10"/>
        <rFont val="Book Antiqua"/>
        <family val="1"/>
      </rPr>
      <t xml:space="preserve"> 20 periods annuity factor at semi-annual yield) + (final payment x discount factor)</t>
    </r>
  </si>
  <si>
    <r>
      <t>x [1/0.03-1/(0.03x(1.03)</t>
    </r>
    <r>
      <rPr>
        <vertAlign val="superscript"/>
        <sz val="10"/>
        <rFont val="Book Antiqua"/>
        <family val="1"/>
      </rPr>
      <t>20</t>
    </r>
    <r>
      <rPr>
        <sz val="10"/>
        <rFont val="Book Antiqua"/>
        <family val="1"/>
      </rPr>
      <t>)] +</t>
    </r>
  </si>
  <si>
    <r>
      <t>1000 / (1.03</t>
    </r>
    <r>
      <rPr>
        <vertAlign val="superscript"/>
        <sz val="10"/>
        <rFont val="Book Antiqua"/>
        <family val="1"/>
      </rPr>
      <t>20</t>
    </r>
    <r>
      <rPr>
        <sz val="10"/>
        <rFont val="Book Antiqua"/>
        <family val="1"/>
      </rPr>
      <t>)</t>
    </r>
  </si>
  <si>
    <r>
      <t xml:space="preserve">(coupon </t>
    </r>
    <r>
      <rPr>
        <sz val="10"/>
        <rFont val="Book Antiqua"/>
        <family val="1"/>
      </rPr>
      <t>x</t>
    </r>
    <r>
      <rPr>
        <i/>
        <sz val="10"/>
        <rFont val="Book Antiqua"/>
        <family val="1"/>
      </rPr>
      <t xml:space="preserve"> 20 periods annuity factor at semi-annual yield) + (final payment x discount factor)</t>
    </r>
  </si>
  <si>
    <t xml:space="preserve">S  </t>
  </si>
  <si>
    <t xml:space="preserve">      =</t>
  </si>
  <si>
    <t xml:space="preserve">D = - </t>
  </si>
  <si>
    <t>First, we can find the spot rate for each maturity based on these bonds:</t>
  </si>
  <si>
    <t>Pt =</t>
  </si>
  <si>
    <r>
      <t>(1+r</t>
    </r>
    <r>
      <rPr>
        <vertAlign val="subscript"/>
        <sz val="10"/>
        <rFont val="Book Antiqua"/>
        <family val="1"/>
      </rPr>
      <t>t</t>
    </r>
    <r>
      <rPr>
        <sz val="10"/>
        <rFont val="Book Antiqua"/>
        <family val="1"/>
      </rPr>
      <t>)</t>
    </r>
    <r>
      <rPr>
        <vertAlign val="superscript"/>
        <sz val="10"/>
        <rFont val="Book Antiqua"/>
        <family val="1"/>
      </rPr>
      <t>t</t>
    </r>
  </si>
  <si>
    <r>
      <t>97.80 = 103/(1+r</t>
    </r>
    <r>
      <rPr>
        <vertAlign val="subscript"/>
        <sz val="10"/>
        <rFont val="Book Antiqua"/>
        <family val="1"/>
      </rPr>
      <t>1</t>
    </r>
    <r>
      <rPr>
        <sz val="10"/>
        <rFont val="Book Antiqua"/>
        <family val="1"/>
      </rPr>
      <t>)</t>
    </r>
  </si>
  <si>
    <r>
      <t>97.92 = 6/(1+5.32%)+106/(1+r</t>
    </r>
    <r>
      <rPr>
        <vertAlign val="subscript"/>
        <sz val="10"/>
        <rFont val="Book Antiqua"/>
        <family val="1"/>
      </rPr>
      <t>2</t>
    </r>
    <r>
      <rPr>
        <sz val="10"/>
        <rFont val="Book Antiqua"/>
        <family val="1"/>
      </rPr>
      <t>)</t>
    </r>
    <r>
      <rPr>
        <vertAlign val="superscript"/>
        <sz val="10"/>
        <rFont val="Book Antiqua"/>
        <family val="1"/>
      </rPr>
      <t>2</t>
    </r>
  </si>
  <si>
    <r>
      <t>111.44 = 12/(1+5.32%)+12/(1+7.21%)</t>
    </r>
    <r>
      <rPr>
        <vertAlign val="superscript"/>
        <sz val="10"/>
        <rFont val="Book Antiqua"/>
        <family val="1"/>
      </rPr>
      <t>2</t>
    </r>
    <r>
      <rPr>
        <sz val="10"/>
        <rFont val="Book Antiqua"/>
        <family val="1"/>
      </rPr>
      <t>+112/(1+r</t>
    </r>
    <r>
      <rPr>
        <vertAlign val="subscript"/>
        <sz val="10"/>
        <rFont val="Book Antiqua"/>
        <family val="1"/>
      </rPr>
      <t>3</t>
    </r>
    <r>
      <rPr>
        <sz val="10"/>
        <rFont val="Book Antiqua"/>
        <family val="1"/>
      </rPr>
      <t>)</t>
    </r>
    <r>
      <rPr>
        <vertAlign val="superscript"/>
        <sz val="10"/>
        <rFont val="Book Antiqua"/>
        <family val="1"/>
      </rPr>
      <t>3</t>
    </r>
  </si>
  <si>
    <r>
      <t>P</t>
    </r>
    <r>
      <rPr>
        <vertAlign val="subscript"/>
        <sz val="10"/>
        <rFont val="Book Antiqua"/>
        <family val="1"/>
      </rPr>
      <t>1</t>
    </r>
    <r>
      <rPr>
        <sz val="10"/>
        <rFont val="Book Antiqua"/>
        <family val="1"/>
      </rPr>
      <t>=</t>
    </r>
  </si>
  <si>
    <r>
      <t>P</t>
    </r>
    <r>
      <rPr>
        <vertAlign val="subscript"/>
        <sz val="10"/>
        <rFont val="Book Antiqua"/>
        <family val="1"/>
      </rPr>
      <t>2</t>
    </r>
    <r>
      <rPr>
        <sz val="10"/>
        <rFont val="Book Antiqua"/>
        <family val="1"/>
      </rPr>
      <t>=</t>
    </r>
  </si>
  <si>
    <r>
      <t>P</t>
    </r>
    <r>
      <rPr>
        <vertAlign val="subscript"/>
        <sz val="10"/>
        <rFont val="Book Antiqua"/>
        <family val="1"/>
      </rPr>
      <t>3</t>
    </r>
    <r>
      <rPr>
        <sz val="10"/>
        <rFont val="Book Antiqua"/>
        <family val="1"/>
      </rPr>
      <t>=</t>
    </r>
  </si>
  <si>
    <t>Then, we can price the 1, 2, &amp; 3 year Zeros based on these spot rates:</t>
  </si>
  <si>
    <t>So, based on the above pricing relationship, bond B, C &amp; D should be priced as follows:</t>
  </si>
  <si>
    <t>-missing pricing</t>
  </si>
  <si>
    <t>1.4D - 0.4B</t>
  </si>
  <si>
    <t>Sell C and buy 1.4D - 0.4B.</t>
  </si>
  <si>
    <t>Arbitrage</t>
  </si>
  <si>
    <t>According to Covered Interest Rate Parity, no arbitrage opportunity exists if the following holds:</t>
  </si>
  <si>
    <t>D=</t>
  </si>
  <si>
    <t>p</t>
  </si>
  <si>
    <t>t =1</t>
  </si>
  <si>
    <t>We use the same formula to find the duration of the bond</t>
  </si>
  <si>
    <t>*Contract Value</t>
  </si>
  <si>
    <r>
      <t>*Present Value of the Contract = 150000 *(1/0.09 - 1/(0.09(1.09)</t>
    </r>
    <r>
      <rPr>
        <vertAlign val="superscript"/>
        <sz val="10"/>
        <rFont val="Book Antiqua"/>
        <family val="1"/>
      </rPr>
      <t>5</t>
    </r>
    <r>
      <rPr>
        <sz val="10"/>
        <rFont val="Book Antiqua"/>
        <family val="1"/>
      </rPr>
      <t>)) =</t>
    </r>
  </si>
  <si>
    <t>Change in Contract Value due to 0.5% increase in interest rate = MD x Contract Value x 0.5 =</t>
  </si>
  <si>
    <t>a. &amp; b.</t>
  </si>
  <si>
    <r>
      <t>f</t>
    </r>
    <r>
      <rPr>
        <vertAlign val="subscript"/>
        <sz val="10"/>
        <rFont val="Book Antiqua"/>
        <family val="1"/>
      </rPr>
      <t>3</t>
    </r>
    <r>
      <rPr>
        <sz val="10"/>
        <rFont val="Book Antiqua"/>
        <family val="1"/>
      </rPr>
      <t xml:space="preserve"> = (1+4.5%)</t>
    </r>
    <r>
      <rPr>
        <vertAlign val="superscript"/>
        <sz val="10"/>
        <rFont val="Book Antiqua"/>
        <family val="1"/>
      </rPr>
      <t>3</t>
    </r>
    <r>
      <rPr>
        <sz val="10"/>
        <rFont val="Book Antiqua"/>
        <family val="1"/>
      </rPr>
      <t>/(1+4%)</t>
    </r>
    <r>
      <rPr>
        <vertAlign val="superscript"/>
        <sz val="10"/>
        <rFont val="Book Antiqua"/>
        <family val="1"/>
      </rPr>
      <t>2</t>
    </r>
    <r>
      <rPr>
        <sz val="10"/>
        <rFont val="Book Antiqua"/>
        <family val="1"/>
      </rPr>
      <t xml:space="preserve"> -1</t>
    </r>
    <r>
      <rPr>
        <vertAlign val="superscript"/>
        <sz val="10"/>
        <rFont val="Book Antiqua"/>
        <family val="1"/>
      </rPr>
      <t xml:space="preserve"> </t>
    </r>
    <r>
      <rPr>
        <sz val="10"/>
        <rFont val="Book Antiqua"/>
        <family val="1"/>
      </rPr>
      <t xml:space="preserve"> =</t>
    </r>
  </si>
  <si>
    <r>
      <t>2</t>
    </r>
    <r>
      <rPr>
        <sz val="10"/>
        <rFont val="Book Antiqua"/>
        <family val="1"/>
      </rPr>
      <t>r</t>
    </r>
    <r>
      <rPr>
        <vertAlign val="subscript"/>
        <sz val="10"/>
        <rFont val="Book Antiqua"/>
        <family val="1"/>
      </rPr>
      <t>3</t>
    </r>
  </si>
  <si>
    <r>
      <t>f</t>
    </r>
    <r>
      <rPr>
        <vertAlign val="subscript"/>
        <sz val="10"/>
        <rFont val="Book Antiqua"/>
        <family val="1"/>
      </rPr>
      <t>4</t>
    </r>
    <r>
      <rPr>
        <sz val="10"/>
        <rFont val="Book Antiqua"/>
        <family val="1"/>
      </rPr>
      <t xml:space="preserve"> = (1+5%)</t>
    </r>
    <r>
      <rPr>
        <vertAlign val="superscript"/>
        <sz val="10"/>
        <rFont val="Book Antiqua"/>
        <family val="1"/>
      </rPr>
      <t>4</t>
    </r>
    <r>
      <rPr>
        <sz val="10"/>
        <rFont val="Book Antiqua"/>
        <family val="1"/>
      </rPr>
      <t>/(1+4.5%)</t>
    </r>
    <r>
      <rPr>
        <vertAlign val="superscript"/>
        <sz val="10"/>
        <rFont val="Book Antiqua"/>
        <family val="1"/>
      </rPr>
      <t>3</t>
    </r>
    <r>
      <rPr>
        <sz val="10"/>
        <rFont val="Book Antiqua"/>
        <family val="1"/>
      </rPr>
      <t xml:space="preserve"> -1 =</t>
    </r>
  </si>
  <si>
    <t>Price of Zeros:</t>
  </si>
  <si>
    <r>
      <t>P</t>
    </r>
    <r>
      <rPr>
        <vertAlign val="subscript"/>
        <sz val="10"/>
        <rFont val="Book Antiqua"/>
        <family val="1"/>
      </rPr>
      <t>2</t>
    </r>
    <r>
      <rPr>
        <sz val="10"/>
        <rFont val="Book Antiqua"/>
        <family val="1"/>
      </rPr>
      <t xml:space="preserve">(1) = </t>
    </r>
  </si>
  <si>
    <r>
      <t>P</t>
    </r>
    <r>
      <rPr>
        <vertAlign val="subscript"/>
        <sz val="10"/>
        <rFont val="Book Antiqua"/>
        <family val="1"/>
      </rPr>
      <t>2</t>
    </r>
    <r>
      <rPr>
        <sz val="10"/>
        <rFont val="Book Antiqua"/>
        <family val="1"/>
      </rPr>
      <t xml:space="preserve">(2) = </t>
    </r>
  </si>
  <si>
    <r>
      <t>100/(1+</t>
    </r>
    <r>
      <rPr>
        <vertAlign val="subscript"/>
        <sz val="10"/>
        <rFont val="Book Antiqua"/>
        <family val="1"/>
      </rPr>
      <t>2</t>
    </r>
    <r>
      <rPr>
        <sz val="10"/>
        <rFont val="Book Antiqua"/>
        <family val="1"/>
      </rPr>
      <t>r</t>
    </r>
    <r>
      <rPr>
        <vertAlign val="subscript"/>
        <sz val="10"/>
        <rFont val="Book Antiqua"/>
        <family val="1"/>
      </rPr>
      <t>3</t>
    </r>
    <r>
      <rPr>
        <sz val="10"/>
        <rFont val="Book Antiqua"/>
        <family val="1"/>
      </rPr>
      <t>)=</t>
    </r>
  </si>
  <si>
    <r>
      <t>100/(1+</t>
    </r>
    <r>
      <rPr>
        <vertAlign val="subscript"/>
        <sz val="10"/>
        <rFont val="Book Antiqua"/>
        <family val="1"/>
      </rPr>
      <t>2</t>
    </r>
    <r>
      <rPr>
        <sz val="10"/>
        <rFont val="Book Antiqua"/>
        <family val="1"/>
      </rPr>
      <t>r</t>
    </r>
    <r>
      <rPr>
        <vertAlign val="subscript"/>
        <sz val="10"/>
        <rFont val="Book Antiqua"/>
        <family val="1"/>
      </rPr>
      <t>4</t>
    </r>
    <r>
      <rPr>
        <sz val="10"/>
        <rFont val="Book Antiqua"/>
        <family val="1"/>
      </rPr>
      <t>)</t>
    </r>
    <r>
      <rPr>
        <vertAlign val="superscript"/>
        <sz val="10"/>
        <rFont val="Book Antiqua"/>
        <family val="1"/>
      </rPr>
      <t>2</t>
    </r>
    <r>
      <rPr>
        <sz val="10"/>
        <rFont val="Book Antiqua"/>
        <family val="1"/>
      </rPr>
      <t xml:space="preserve"> =</t>
    </r>
  </si>
  <si>
    <t>One year spot rate at t = 3 would be the same as the one year forward rate at t = 3, which is:</t>
  </si>
  <si>
    <t>11 3/4 coupon, maturity Feb. 2001, ask price 113:07, yield 4.81%</t>
  </si>
  <si>
    <t>Since coupon is semiannual, C= 11.75/2, t = 4, y = 4.81%</t>
  </si>
  <si>
    <t>11.75/2</t>
  </si>
  <si>
    <r>
      <t>(1+4.81%/2)</t>
    </r>
    <r>
      <rPr>
        <vertAlign val="superscript"/>
        <sz val="10"/>
        <rFont val="Book Antiqua"/>
        <family val="1"/>
      </rPr>
      <t>t</t>
    </r>
  </si>
  <si>
    <r>
      <t>(1+4.81%/2)</t>
    </r>
    <r>
      <rPr>
        <vertAlign val="superscript"/>
        <sz val="10"/>
        <rFont val="Book Antiqua"/>
        <family val="1"/>
      </rPr>
      <t>4</t>
    </r>
  </si>
  <si>
    <t>v.s.</t>
  </si>
  <si>
    <t>113:07 =</t>
  </si>
  <si>
    <t>9 3/8 coupon, maturity Feb. 2006, ask price 125:07, yield 5.06%</t>
  </si>
  <si>
    <t>Since coupon is semiannual, C= 9.375/2, t = 14, y = 5.06%</t>
  </si>
  <si>
    <r>
      <t>(1+5.06%/2)</t>
    </r>
    <r>
      <rPr>
        <vertAlign val="superscript"/>
        <sz val="10"/>
        <rFont val="Book Antiqua"/>
        <family val="1"/>
      </rPr>
      <t>t</t>
    </r>
  </si>
  <si>
    <r>
      <t>(1+5.06%/2)</t>
    </r>
    <r>
      <rPr>
        <vertAlign val="superscript"/>
        <sz val="10"/>
        <rFont val="Book Antiqua"/>
        <family val="1"/>
      </rPr>
      <t>14</t>
    </r>
  </si>
  <si>
    <t>125:07=</t>
  </si>
  <si>
    <t>8 7/8 coupon, maturity Feb. 2019, ask price 138:31, yield 5.61%</t>
  </si>
  <si>
    <t>Since coupon is semiannual, C= 8.875/2, t = 40, y = 5.61%</t>
  </si>
  <si>
    <r>
      <t>(1+5.61%/2)</t>
    </r>
    <r>
      <rPr>
        <vertAlign val="superscript"/>
        <sz val="10"/>
        <rFont val="Book Antiqua"/>
        <family val="1"/>
      </rPr>
      <t>t</t>
    </r>
  </si>
  <si>
    <r>
      <t>(1+5.61%/2)</t>
    </r>
    <r>
      <rPr>
        <vertAlign val="superscript"/>
        <sz val="10"/>
        <rFont val="Book Antiqua"/>
        <family val="1"/>
      </rPr>
      <t>40</t>
    </r>
  </si>
  <si>
    <t>138:31=</t>
  </si>
  <si>
    <t>Feb. 2004 strip, ask price 78:11, yield 4.92%</t>
  </si>
  <si>
    <r>
      <t>100/(1+4.92%/2)</t>
    </r>
    <r>
      <rPr>
        <vertAlign val="superscript"/>
        <sz val="10"/>
        <rFont val="Book Antiqua"/>
        <family val="1"/>
      </rPr>
      <t>10</t>
    </r>
    <r>
      <rPr>
        <sz val="10"/>
        <rFont val="Book Antiqua"/>
        <family val="1"/>
      </rPr>
      <t xml:space="preserve"> =</t>
    </r>
  </si>
  <si>
    <t>78:11=</t>
  </si>
  <si>
    <t>Feb. 2027 strip, ask price 21:20, yield 5.54%</t>
  </si>
  <si>
    <t>21:20=</t>
  </si>
  <si>
    <t>Feb. 00</t>
  </si>
  <si>
    <t>Aug. 00</t>
  </si>
  <si>
    <t>Feb. 01</t>
  </si>
  <si>
    <t>Aug. 01</t>
  </si>
  <si>
    <t>Feb. 02</t>
  </si>
  <si>
    <t>Starting Date: Feb. 5, 1999</t>
  </si>
  <si>
    <t>- D</t>
  </si>
  <si>
    <r>
      <t>Current FX Spot Rate x (1 + r</t>
    </r>
    <r>
      <rPr>
        <b/>
        <i/>
        <vertAlign val="subscript"/>
        <sz val="10"/>
        <rFont val="Book Antiqua"/>
        <family val="1"/>
      </rPr>
      <t>f</t>
    </r>
    <r>
      <rPr>
        <b/>
        <sz val="10"/>
        <rFont val="Book Antiqua"/>
        <family val="1"/>
      </rPr>
      <t>)</t>
    </r>
  </si>
  <si>
    <r>
      <t>(1 +r</t>
    </r>
    <r>
      <rPr>
        <b/>
        <i/>
        <vertAlign val="subscript"/>
        <sz val="10"/>
        <rFont val="Book Antiqua"/>
        <family val="1"/>
      </rPr>
      <t>d</t>
    </r>
    <r>
      <rPr>
        <b/>
        <sz val="10"/>
        <rFont val="Book Antiqua"/>
        <family val="1"/>
      </rPr>
      <t>)</t>
    </r>
  </si>
  <si>
    <r>
      <t>t*C</t>
    </r>
    <r>
      <rPr>
        <b/>
        <vertAlign val="subscript"/>
        <sz val="10"/>
        <rFont val="Book Antiqua"/>
        <family val="1"/>
      </rPr>
      <t>t</t>
    </r>
  </si>
  <si>
    <r>
      <t>(1+y)</t>
    </r>
    <r>
      <rPr>
        <b/>
        <vertAlign val="superscript"/>
        <sz val="10"/>
        <rFont val="Book Antiqua"/>
        <family val="1"/>
      </rPr>
      <t>t</t>
    </r>
  </si>
  <si>
    <t>Start from Feb.8, 1999</t>
  </si>
  <si>
    <t>Calculate the duration of 11 3/4s of '01, yield at 4.81% p.a. using this formula:</t>
  </si>
  <si>
    <t>Payment discount at 2.405% Semiannually</t>
  </si>
  <si>
    <t>The duration is 1.85 years.</t>
  </si>
  <si>
    <r>
      <t>3</t>
    </r>
    <r>
      <rPr>
        <sz val="10"/>
        <rFont val="Book Antiqua"/>
        <family val="1"/>
      </rPr>
      <t>f</t>
    </r>
    <r>
      <rPr>
        <vertAlign val="subscript"/>
        <sz val="10"/>
        <rFont val="Book Antiqua"/>
        <family val="1"/>
      </rPr>
      <t>4</t>
    </r>
    <r>
      <rPr>
        <sz val="10"/>
        <rFont val="Book Antiqua"/>
        <family val="1"/>
      </rPr>
      <t xml:space="preserve"> = </t>
    </r>
  </si>
  <si>
    <r>
      <t>100/(1+5.54%/2)</t>
    </r>
    <r>
      <rPr>
        <vertAlign val="superscript"/>
        <sz val="10"/>
        <rFont val="Book Antiqua"/>
        <family val="1"/>
      </rPr>
      <t xml:space="preserve">56 </t>
    </r>
    <r>
      <rPr>
        <sz val="10"/>
        <rFont val="Book Antiqua"/>
        <family val="1"/>
      </rPr>
      <t>=</t>
    </r>
  </si>
  <si>
    <t xml:space="preserve">Time to Payment        (In period)       </t>
  </si>
  <si>
    <t xml:space="preserve">Duration = </t>
  </si>
  <si>
    <t>3.7 periods = 1.85 years</t>
  </si>
  <si>
    <r>
      <t>3</t>
    </r>
    <r>
      <rPr>
        <sz val="10"/>
        <rFont val="Book Antiqua"/>
        <family val="1"/>
      </rPr>
      <t>r</t>
    </r>
    <r>
      <rPr>
        <vertAlign val="subscript"/>
        <sz val="10"/>
        <rFont val="Book Antiqua"/>
        <family val="1"/>
      </rPr>
      <t>4</t>
    </r>
  </si>
  <si>
    <r>
      <t>2</t>
    </r>
    <r>
      <rPr>
        <sz val="10"/>
        <rFont val="Book Antiqua"/>
        <family val="1"/>
      </rPr>
      <t>r</t>
    </r>
    <r>
      <rPr>
        <vertAlign val="subscript"/>
        <sz val="10"/>
        <rFont val="Book Antiqua"/>
        <family val="1"/>
      </rPr>
      <t>4</t>
    </r>
    <r>
      <rPr>
        <sz val="10"/>
        <rFont val="Book Antiqua"/>
        <family val="1"/>
      </rPr>
      <t xml:space="preserve"> = ((1+5%)</t>
    </r>
    <r>
      <rPr>
        <vertAlign val="superscript"/>
        <sz val="10"/>
        <rFont val="Book Antiqua"/>
        <family val="1"/>
      </rPr>
      <t>4</t>
    </r>
    <r>
      <rPr>
        <sz val="10"/>
        <rFont val="Book Antiqua"/>
        <family val="1"/>
      </rPr>
      <t>/(1+ 4%)</t>
    </r>
    <r>
      <rPr>
        <vertAlign val="superscript"/>
        <sz val="10"/>
        <rFont val="Book Antiqua"/>
        <family val="1"/>
      </rPr>
      <t>2</t>
    </r>
    <r>
      <rPr>
        <sz val="10"/>
        <rFont val="Book Antiqua"/>
        <family val="1"/>
      </rPr>
      <t>)</t>
    </r>
    <r>
      <rPr>
        <vertAlign val="superscript"/>
        <sz val="10"/>
        <rFont val="Book Antiqua"/>
        <family val="1"/>
      </rPr>
      <t>1/2</t>
    </r>
    <r>
      <rPr>
        <sz val="10"/>
        <rFont val="Book Antiqua"/>
        <family val="1"/>
      </rPr>
      <t xml:space="preserve"> -1 = </t>
    </r>
  </si>
  <si>
    <r>
      <t>2</t>
    </r>
    <r>
      <rPr>
        <sz val="10"/>
        <color indexed="10"/>
        <rFont val="Book Antiqua"/>
        <family val="1"/>
      </rPr>
      <t>r</t>
    </r>
    <r>
      <rPr>
        <vertAlign val="subscript"/>
        <sz val="10"/>
        <color indexed="10"/>
        <rFont val="Book Antiqua"/>
        <family val="1"/>
      </rPr>
      <t>4</t>
    </r>
  </si>
  <si>
    <t>Or, you can calculate the duration in terms of period first, then convert it into years.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</si>
</sst>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
    <numFmt numFmtId="168" formatCode="0.0000%"/>
    <numFmt numFmtId="169" formatCode="0.00000%"/>
    <numFmt numFmtId="170" formatCode="0.0"/>
    <numFmt numFmtId="171" formatCode="_(* #,##0.000_);_(* \(#,##0.000\);_(* &quot;-&quot;??_);_(@_)"/>
    <numFmt numFmtId="172" formatCode="_(* #,##0.0000_);_(* \(#,##0.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_(* #,##0.00000000_);_(* \(#,##0.00000000\);_(* &quot;-&quot;??_);_(@_)"/>
    <numFmt numFmtId="178" formatCode="_(* #,##0.000000000_);_(* \(#,##0.000000000\);_(* &quot;-&quot;??_);_(@_)"/>
    <numFmt numFmtId="179" formatCode="_(* #,##0.0000000000_);_(* \(#,##0.0000000000\);_(* &quot;-&quot;??_);_(@_)"/>
    <numFmt numFmtId="180" formatCode="0.0000"/>
    <numFmt numFmtId="181" formatCode="0.00000"/>
    <numFmt numFmtId="182" formatCode="_(* #,##0.000_);_(* \(#,##0.000\);_(* &quot;-&quot;???_);_(@_)"/>
  </numFmts>
  <fonts count="29">
    <font>
      <sz val="10"/>
      <name val="Arial"/>
      <family val="0"/>
    </font>
    <font>
      <b/>
      <sz val="10"/>
      <name val="Arial"/>
      <family val="2"/>
    </font>
    <font>
      <sz val="10"/>
      <color indexed="8"/>
      <name val="Arial"/>
      <family val="2"/>
    </font>
    <font>
      <b/>
      <sz val="12"/>
      <name val="Symbol"/>
      <family val="1"/>
    </font>
    <font>
      <sz val="10"/>
      <name val="Book Antiqua"/>
      <family val="1"/>
    </font>
    <font>
      <b/>
      <sz val="10"/>
      <name val="Book Antiqua"/>
      <family val="1"/>
    </font>
    <font>
      <b/>
      <vertAlign val="superscript"/>
      <sz val="10"/>
      <name val="Book Antiqua"/>
      <family val="1"/>
    </font>
    <font>
      <sz val="8"/>
      <name val="Book Antiqua"/>
      <family val="1"/>
    </font>
    <font>
      <vertAlign val="superscript"/>
      <sz val="10"/>
      <name val="Book Antiqua"/>
      <family val="1"/>
    </font>
    <font>
      <vertAlign val="subscript"/>
      <sz val="10"/>
      <name val="Book Antiqua"/>
      <family val="1"/>
    </font>
    <font>
      <b/>
      <vertAlign val="subscript"/>
      <sz val="10"/>
      <name val="Book Antiqua"/>
      <family val="1"/>
    </font>
    <font>
      <sz val="9"/>
      <name val="Book Antiqua"/>
      <family val="1"/>
    </font>
    <font>
      <vertAlign val="subscript"/>
      <sz val="9"/>
      <name val="Book Antiqua"/>
      <family val="1"/>
    </font>
    <font>
      <vertAlign val="superscript"/>
      <sz val="9"/>
      <name val="Book Antiqua"/>
      <family val="1"/>
    </font>
    <font>
      <sz val="10"/>
      <color indexed="8"/>
      <name val="Book Antiqua"/>
      <family val="1"/>
    </font>
    <font>
      <i/>
      <sz val="10"/>
      <name val="Book Antiqua"/>
      <family val="1"/>
    </font>
    <font>
      <u val="single"/>
      <sz val="10"/>
      <name val="Book Antiqua"/>
      <family val="1"/>
    </font>
    <font>
      <sz val="12"/>
      <name val="Symbol"/>
      <family val="1"/>
    </font>
    <font>
      <sz val="12"/>
      <name val="Book Antiqua"/>
      <family val="1"/>
    </font>
    <font>
      <b/>
      <i/>
      <sz val="10"/>
      <name val="Book Antiqua"/>
      <family val="1"/>
    </font>
    <font>
      <b/>
      <sz val="12"/>
      <name val="Book Antiqua"/>
      <family val="1"/>
    </font>
    <font>
      <b/>
      <sz val="12"/>
      <color indexed="10"/>
      <name val="Book Antiqua"/>
      <family val="1"/>
    </font>
    <font>
      <b/>
      <i/>
      <sz val="10"/>
      <color indexed="10"/>
      <name val="Book Antiqua"/>
      <family val="1"/>
    </font>
    <font>
      <b/>
      <i/>
      <vertAlign val="subscript"/>
      <sz val="10"/>
      <name val="Book Antiqua"/>
      <family val="1"/>
    </font>
    <font>
      <b/>
      <sz val="8"/>
      <name val="Book Antiqua"/>
      <family val="1"/>
    </font>
    <font>
      <i/>
      <sz val="11"/>
      <color indexed="12"/>
      <name val="Book Antiqua"/>
      <family val="1"/>
    </font>
    <font>
      <b/>
      <sz val="10"/>
      <color indexed="10"/>
      <name val="Book Antiqua"/>
      <family val="1"/>
    </font>
    <font>
      <vertAlign val="subscript"/>
      <sz val="10"/>
      <color indexed="10"/>
      <name val="Book Antiqua"/>
      <family val="1"/>
    </font>
    <font>
      <sz val="10"/>
      <color indexed="10"/>
      <name val="Book Antiqua"/>
      <family val="1"/>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1">
    <xf numFmtId="0" fontId="0" fillId="0" borderId="0" xfId="0" applyAlignment="1">
      <alignment/>
    </xf>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left"/>
    </xf>
    <xf numFmtId="0" fontId="4" fillId="0" borderId="0" xfId="0" applyFont="1" applyAlignment="1">
      <alignment/>
    </xf>
    <xf numFmtId="0" fontId="5" fillId="0" borderId="1" xfId="0" applyFont="1" applyBorder="1" applyAlignment="1">
      <alignment/>
    </xf>
    <xf numFmtId="0" fontId="5" fillId="0" borderId="2" xfId="0" applyFont="1" applyBorder="1" applyAlignment="1">
      <alignment horizontal="center"/>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5" fillId="0" borderId="0" xfId="0" applyFont="1" applyBorder="1" applyAlignment="1">
      <alignment vertical="center" wrapText="1"/>
    </xf>
    <xf numFmtId="0" fontId="5" fillId="0" borderId="6" xfId="0" applyFont="1" applyBorder="1" applyAlignment="1">
      <alignment/>
    </xf>
    <xf numFmtId="0" fontId="5" fillId="0" borderId="4" xfId="0" applyFont="1" applyBorder="1" applyAlignment="1">
      <alignment/>
    </xf>
    <xf numFmtId="0" fontId="5" fillId="0" borderId="7" xfId="0" applyFont="1" applyBorder="1" applyAlignment="1">
      <alignment/>
    </xf>
    <xf numFmtId="0" fontId="5" fillId="0" borderId="5" xfId="0" applyFont="1" applyBorder="1" applyAlignment="1">
      <alignment/>
    </xf>
    <xf numFmtId="0" fontId="5" fillId="0" borderId="8" xfId="0" applyFont="1" applyBorder="1" applyAlignment="1">
      <alignment/>
    </xf>
    <xf numFmtId="0" fontId="4" fillId="0" borderId="5" xfId="0" applyFont="1" applyBorder="1" applyAlignment="1">
      <alignment horizontal="center"/>
    </xf>
    <xf numFmtId="0" fontId="4" fillId="0" borderId="5" xfId="0" applyFont="1" applyBorder="1" applyAlignment="1">
      <alignment/>
    </xf>
    <xf numFmtId="0" fontId="5" fillId="0" borderId="9" xfId="0" applyFont="1" applyBorder="1" applyAlignment="1">
      <alignment horizontal="center"/>
    </xf>
    <xf numFmtId="0" fontId="4" fillId="0" borderId="0" xfId="0" applyFont="1" applyAlignment="1">
      <alignment horizontal="center"/>
    </xf>
    <xf numFmtId="166" fontId="4" fillId="0" borderId="0" xfId="15" applyNumberFormat="1" applyFont="1" applyAlignment="1">
      <alignment/>
    </xf>
    <xf numFmtId="9" fontId="4" fillId="0" borderId="0" xfId="0" applyNumberFormat="1" applyFont="1" applyAlignment="1">
      <alignment/>
    </xf>
    <xf numFmtId="0" fontId="4" fillId="0" borderId="0" xfId="0" applyFont="1" applyAlignment="1">
      <alignment horizontal="right"/>
    </xf>
    <xf numFmtId="43" fontId="4" fillId="0" borderId="0" xfId="15" applyFont="1" applyAlignment="1">
      <alignment horizontal="center"/>
    </xf>
    <xf numFmtId="43" fontId="4" fillId="0" borderId="0" xfId="15" applyFont="1" applyAlignment="1">
      <alignment horizontal="left"/>
    </xf>
    <xf numFmtId="43" fontId="5" fillId="0" borderId="10" xfId="15" applyFont="1" applyBorder="1" applyAlignment="1">
      <alignment/>
    </xf>
    <xf numFmtId="43" fontId="4" fillId="0" borderId="0" xfId="15" applyFont="1" applyAlignment="1">
      <alignment/>
    </xf>
    <xf numFmtId="10" fontId="4" fillId="0" borderId="0" xfId="19" applyNumberFormat="1" applyFont="1" applyAlignment="1">
      <alignment horizontal="left"/>
    </xf>
    <xf numFmtId="0" fontId="4" fillId="0" borderId="0" xfId="0" applyFont="1" applyBorder="1" applyAlignment="1">
      <alignment/>
    </xf>
    <xf numFmtId="0" fontId="7" fillId="0" borderId="0" xfId="0" applyFont="1" applyBorder="1" applyAlignment="1">
      <alignment horizontal="center"/>
    </xf>
    <xf numFmtId="0" fontId="4" fillId="0" borderId="0" xfId="0" applyFont="1" applyBorder="1" applyAlignment="1">
      <alignment horizontal="left"/>
    </xf>
    <xf numFmtId="10" fontId="4" fillId="0" borderId="0" xfId="19" applyNumberFormat="1" applyFont="1" applyAlignment="1">
      <alignment/>
    </xf>
    <xf numFmtId="0" fontId="4" fillId="0" borderId="0" xfId="0" applyFont="1" applyBorder="1" applyAlignment="1">
      <alignment horizontal="right"/>
    </xf>
    <xf numFmtId="0" fontId="4" fillId="0" borderId="0" xfId="0" applyFont="1" applyBorder="1" applyAlignment="1">
      <alignment vertical="center" wrapText="1"/>
    </xf>
    <xf numFmtId="0" fontId="4" fillId="0" borderId="0" xfId="0" applyFont="1" applyBorder="1" applyAlignment="1">
      <alignment horizontal="center"/>
    </xf>
    <xf numFmtId="43" fontId="5" fillId="0" borderId="10" xfId="15" applyFont="1" applyBorder="1" applyAlignment="1">
      <alignment horizontal="right"/>
    </xf>
    <xf numFmtId="43" fontId="5" fillId="0" borderId="0" xfId="15" applyFont="1" applyBorder="1" applyAlignment="1">
      <alignment horizontal="right"/>
    </xf>
    <xf numFmtId="0" fontId="5" fillId="0" borderId="0" xfId="0" applyFont="1" applyAlignment="1">
      <alignment/>
    </xf>
    <xf numFmtId="10" fontId="4" fillId="0" borderId="0" xfId="0" applyNumberFormat="1" applyFont="1" applyAlignment="1">
      <alignment/>
    </xf>
    <xf numFmtId="0" fontId="11" fillId="0" borderId="0" xfId="0" applyFont="1" applyAlignment="1">
      <alignment/>
    </xf>
    <xf numFmtId="10" fontId="4" fillId="0" borderId="0" xfId="19" applyNumberFormat="1" applyFont="1" applyAlignment="1">
      <alignment horizontal="right"/>
    </xf>
    <xf numFmtId="43" fontId="4" fillId="0" borderId="5" xfId="0" applyNumberFormat="1" applyFont="1" applyBorder="1" applyAlignment="1">
      <alignment/>
    </xf>
    <xf numFmtId="43" fontId="4" fillId="0" borderId="5" xfId="15" applyFont="1" applyBorder="1" applyAlignment="1">
      <alignment/>
    </xf>
    <xf numFmtId="43" fontId="4" fillId="0" borderId="0" xfId="0" applyNumberFormat="1" applyFont="1" applyAlignment="1">
      <alignment/>
    </xf>
    <xf numFmtId="0" fontId="7" fillId="0" borderId="0" xfId="0" applyFont="1" applyAlignment="1">
      <alignment horizontal="center"/>
    </xf>
    <xf numFmtId="0" fontId="15" fillId="0" borderId="0" xfId="0" applyFont="1" applyAlignment="1">
      <alignment/>
    </xf>
    <xf numFmtId="43" fontId="5" fillId="0" borderId="10" xfId="15" applyNumberFormat="1" applyFont="1" applyBorder="1" applyAlignment="1">
      <alignment/>
    </xf>
    <xf numFmtId="10" fontId="5" fillId="0" borderId="10" xfId="19" applyNumberFormat="1" applyFont="1" applyBorder="1" applyAlignment="1">
      <alignment/>
    </xf>
    <xf numFmtId="10" fontId="5" fillId="0" borderId="10" xfId="19" applyNumberFormat="1" applyFont="1" applyBorder="1" applyAlignment="1">
      <alignment horizontal="left"/>
    </xf>
    <xf numFmtId="0" fontId="5" fillId="0" borderId="0" xfId="0" applyFont="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0" fontId="4" fillId="0" borderId="4" xfId="0" applyFont="1" applyBorder="1" applyAlignment="1">
      <alignment horizontal="center"/>
    </xf>
    <xf numFmtId="43" fontId="4" fillId="0" borderId="0" xfId="15" applyFont="1" applyBorder="1" applyAlignment="1">
      <alignment/>
    </xf>
    <xf numFmtId="43" fontId="4" fillId="0" borderId="6" xfId="15" applyFont="1" applyBorder="1" applyAlignment="1">
      <alignment/>
    </xf>
    <xf numFmtId="43" fontId="4" fillId="0" borderId="8" xfId="15" applyFont="1" applyBorder="1" applyAlignment="1">
      <alignment/>
    </xf>
    <xf numFmtId="0" fontId="5" fillId="0" borderId="10" xfId="0" applyFont="1" applyBorder="1" applyAlignment="1">
      <alignment horizontal="center"/>
    </xf>
    <xf numFmtId="0" fontId="4" fillId="0" borderId="13" xfId="0" applyFont="1" applyBorder="1" applyAlignment="1">
      <alignment horizontal="center"/>
    </xf>
    <xf numFmtId="43" fontId="4" fillId="0" borderId="13" xfId="15" applyFont="1" applyBorder="1" applyAlignment="1">
      <alignment/>
    </xf>
    <xf numFmtId="0" fontId="4" fillId="0" borderId="4" xfId="0" applyFont="1" applyBorder="1" applyAlignment="1">
      <alignment/>
    </xf>
    <xf numFmtId="10" fontId="4" fillId="0" borderId="0" xfId="19" applyNumberFormat="1" applyFont="1" applyBorder="1" applyAlignment="1">
      <alignment/>
    </xf>
    <xf numFmtId="0" fontId="4" fillId="0" borderId="6" xfId="0" applyFont="1" applyBorder="1" applyAlignment="1">
      <alignment/>
    </xf>
    <xf numFmtId="0" fontId="4" fillId="0" borderId="7" xfId="0" applyFont="1" applyBorder="1" applyAlignment="1">
      <alignment/>
    </xf>
    <xf numFmtId="10" fontId="4" fillId="0" borderId="5" xfId="19" applyNumberFormat="1" applyFont="1" applyBorder="1" applyAlignment="1">
      <alignment/>
    </xf>
    <xf numFmtId="0" fontId="4" fillId="0" borderId="9" xfId="0" applyFont="1" applyBorder="1" applyAlignment="1">
      <alignment/>
    </xf>
    <xf numFmtId="0" fontId="4" fillId="0" borderId="12" xfId="0" applyFont="1" applyBorder="1" applyAlignment="1">
      <alignment/>
    </xf>
    <xf numFmtId="0" fontId="4" fillId="0" borderId="6" xfId="0" applyFont="1" applyBorder="1" applyAlignment="1">
      <alignment horizontal="center"/>
    </xf>
    <xf numFmtId="0" fontId="4" fillId="0" borderId="8" xfId="0" applyFont="1" applyBorder="1" applyAlignment="1">
      <alignment horizontal="center"/>
    </xf>
    <xf numFmtId="10" fontId="4" fillId="0" borderId="6" xfId="19" applyNumberFormat="1" applyFont="1" applyBorder="1" applyAlignment="1">
      <alignment/>
    </xf>
    <xf numFmtId="10" fontId="4" fillId="0" borderId="8" xfId="19" applyNumberFormat="1" applyFont="1" applyBorder="1" applyAlignment="1">
      <alignment/>
    </xf>
    <xf numFmtId="0" fontId="4" fillId="0" borderId="8" xfId="0" applyFont="1" applyBorder="1" applyAlignment="1">
      <alignment/>
    </xf>
    <xf numFmtId="0" fontId="5" fillId="0" borderId="10" xfId="0" applyFont="1" applyBorder="1" applyAlignment="1">
      <alignment/>
    </xf>
    <xf numFmtId="0" fontId="4" fillId="0" borderId="14" xfId="0" applyFont="1" applyBorder="1" applyAlignment="1">
      <alignment/>
    </xf>
    <xf numFmtId="0" fontId="4" fillId="0" borderId="13" xfId="0" applyFont="1" applyBorder="1" applyAlignment="1">
      <alignment/>
    </xf>
    <xf numFmtId="0" fontId="5" fillId="0" borderId="7" xfId="0" applyFont="1" applyBorder="1" applyAlignment="1">
      <alignment horizontal="right"/>
    </xf>
    <xf numFmtId="164" fontId="5" fillId="0" borderId="8" xfId="19" applyNumberFormat="1" applyFont="1" applyBorder="1" applyAlignment="1">
      <alignment horizontal="left"/>
    </xf>
    <xf numFmtId="164" fontId="5" fillId="0" borderId="12" xfId="19" applyNumberFormat="1" applyFont="1" applyBorder="1" applyAlignment="1">
      <alignment horizontal="center"/>
    </xf>
    <xf numFmtId="0" fontId="4" fillId="0" borderId="7" xfId="0" applyFont="1" applyBorder="1" applyAlignment="1">
      <alignment horizontal="left"/>
    </xf>
    <xf numFmtId="166" fontId="4" fillId="0" borderId="8" xfId="15" applyNumberFormat="1" applyFont="1" applyBorder="1" applyAlignment="1">
      <alignment/>
    </xf>
    <xf numFmtId="0" fontId="15" fillId="0" borderId="0" xfId="0" applyFont="1" applyAlignment="1">
      <alignment horizontal="right"/>
    </xf>
    <xf numFmtId="0" fontId="15" fillId="0" borderId="0" xfId="0" applyFont="1" applyAlignment="1">
      <alignment/>
    </xf>
    <xf numFmtId="0" fontId="15" fillId="0" borderId="0" xfId="0" applyFont="1" applyAlignment="1">
      <alignment horizontal="left"/>
    </xf>
    <xf numFmtId="10" fontId="15" fillId="0" borderId="0" xfId="19" applyNumberFormat="1" applyFont="1" applyAlignment="1">
      <alignment horizontal="left"/>
    </xf>
    <xf numFmtId="0" fontId="4" fillId="0" borderId="11" xfId="0" applyFont="1" applyBorder="1" applyAlignment="1">
      <alignment horizontal="center"/>
    </xf>
    <xf numFmtId="0" fontId="4" fillId="0" borderId="9" xfId="0" applyFont="1" applyBorder="1" applyAlignment="1">
      <alignment horizontal="center"/>
    </xf>
    <xf numFmtId="0" fontId="4" fillId="0" borderId="12" xfId="0" applyFont="1" applyBorder="1" applyAlignment="1">
      <alignment horizontal="center"/>
    </xf>
    <xf numFmtId="43" fontId="4" fillId="0" borderId="4" xfId="15" applyFont="1" applyBorder="1" applyAlignment="1">
      <alignment/>
    </xf>
    <xf numFmtId="43" fontId="4" fillId="0" borderId="7" xfId="0" applyNumberFormat="1" applyFont="1" applyBorder="1" applyAlignment="1">
      <alignment/>
    </xf>
    <xf numFmtId="2" fontId="4" fillId="0" borderId="7" xfId="0" applyNumberFormat="1" applyFont="1" applyBorder="1" applyAlignment="1">
      <alignment/>
    </xf>
    <xf numFmtId="43" fontId="4" fillId="0" borderId="8" xfId="0" applyNumberFormat="1" applyFont="1" applyBorder="1" applyAlignment="1">
      <alignment/>
    </xf>
    <xf numFmtId="0" fontId="4" fillId="2" borderId="14" xfId="0" applyFont="1" applyFill="1" applyBorder="1" applyAlignment="1">
      <alignment horizontal="center"/>
    </xf>
    <xf numFmtId="43" fontId="4" fillId="2" borderId="14" xfId="15" applyFont="1" applyFill="1" applyBorder="1" applyAlignment="1">
      <alignment/>
    </xf>
    <xf numFmtId="43" fontId="4" fillId="2" borderId="0" xfId="15" applyFont="1" applyFill="1" applyBorder="1" applyAlignment="1">
      <alignment/>
    </xf>
    <xf numFmtId="0" fontId="4" fillId="3" borderId="14" xfId="0" applyFont="1" applyFill="1" applyBorder="1" applyAlignment="1">
      <alignment horizontal="center"/>
    </xf>
    <xf numFmtId="43" fontId="4" fillId="3" borderId="14" xfId="15" applyFont="1" applyFill="1" applyBorder="1" applyAlignment="1">
      <alignment/>
    </xf>
    <xf numFmtId="43" fontId="4" fillId="3" borderId="0" xfId="15" applyFont="1" applyFill="1" applyBorder="1" applyAlignment="1">
      <alignment/>
    </xf>
    <xf numFmtId="43" fontId="4" fillId="3" borderId="6" xfId="15" applyFont="1" applyFill="1" applyBorder="1" applyAlignment="1">
      <alignment/>
    </xf>
    <xf numFmtId="0" fontId="16" fillId="0" borderId="0" xfId="0" applyFont="1" applyAlignment="1">
      <alignment/>
    </xf>
    <xf numFmtId="43" fontId="5" fillId="0" borderId="10" xfId="0" applyNumberFormat="1" applyFont="1" applyBorder="1" applyAlignment="1">
      <alignment/>
    </xf>
    <xf numFmtId="49" fontId="4" fillId="0" borderId="0" xfId="0" applyNumberFormat="1" applyFont="1" applyAlignment="1">
      <alignment horizontal="left"/>
    </xf>
    <xf numFmtId="49" fontId="4" fillId="0" borderId="0" xfId="0" applyNumberFormat="1" applyFont="1" applyAlignment="1">
      <alignment/>
    </xf>
    <xf numFmtId="49" fontId="4" fillId="0" borderId="0" xfId="0" applyNumberFormat="1" applyFont="1" applyAlignment="1">
      <alignment horizontal="center"/>
    </xf>
    <xf numFmtId="49" fontId="4" fillId="0" borderId="0" xfId="0" applyNumberFormat="1" applyFont="1" applyAlignment="1">
      <alignment horizontal="center" vertical="center"/>
    </xf>
    <xf numFmtId="49" fontId="4" fillId="0" borderId="5" xfId="0" applyNumberFormat="1" applyFont="1" applyBorder="1" applyAlignment="1">
      <alignment horizontal="center"/>
    </xf>
    <xf numFmtId="0" fontId="17" fillId="0" borderId="0" xfId="0" applyFont="1" applyAlignment="1">
      <alignment horizontal="center"/>
    </xf>
    <xf numFmtId="49" fontId="4" fillId="0" borderId="0" xfId="0" applyNumberFormat="1" applyFont="1" applyAlignment="1">
      <alignment horizontal="right" vertical="center"/>
    </xf>
    <xf numFmtId="49" fontId="18" fillId="0" borderId="0" xfId="0" applyNumberFormat="1" applyFont="1" applyAlignment="1">
      <alignment/>
    </xf>
    <xf numFmtId="0" fontId="18" fillId="0" borderId="0" xfId="0" applyFont="1" applyAlignment="1">
      <alignment/>
    </xf>
    <xf numFmtId="0" fontId="4" fillId="0" borderId="9" xfId="0" applyFont="1" applyBorder="1" applyAlignment="1">
      <alignment horizontal="center" wrapText="1"/>
    </xf>
    <xf numFmtId="166" fontId="4" fillId="0" borderId="0" xfId="15" applyNumberFormat="1" applyFont="1" applyBorder="1" applyAlignment="1">
      <alignment/>
    </xf>
    <xf numFmtId="166" fontId="4" fillId="0" borderId="0" xfId="0" applyNumberFormat="1" applyFont="1" applyBorder="1" applyAlignment="1">
      <alignment/>
    </xf>
    <xf numFmtId="43" fontId="4" fillId="0" borderId="0" xfId="0" applyNumberFormat="1" applyFont="1" applyBorder="1" applyAlignment="1">
      <alignment/>
    </xf>
    <xf numFmtId="0" fontId="5" fillId="0" borderId="8" xfId="0" applyFont="1" applyBorder="1" applyAlignment="1">
      <alignment horizontal="center"/>
    </xf>
    <xf numFmtId="10" fontId="4" fillId="0" borderId="0" xfId="19" applyNumberFormat="1" applyFont="1" applyBorder="1" applyAlignment="1">
      <alignment horizontal="center"/>
    </xf>
    <xf numFmtId="10" fontId="5" fillId="0" borderId="0" xfId="19" applyNumberFormat="1" applyFont="1" applyBorder="1" applyAlignment="1">
      <alignment/>
    </xf>
    <xf numFmtId="0" fontId="9" fillId="0" borderId="0" xfId="0" applyFont="1" applyAlignment="1">
      <alignment/>
    </xf>
    <xf numFmtId="0" fontId="19" fillId="0" borderId="0" xfId="0" applyFont="1" applyAlignment="1">
      <alignment/>
    </xf>
    <xf numFmtId="0" fontId="4" fillId="0" borderId="11" xfId="0" applyFont="1" applyBorder="1" applyAlignment="1">
      <alignment horizontal="right"/>
    </xf>
    <xf numFmtId="43" fontId="4" fillId="0" borderId="12" xfId="15" applyFont="1" applyBorder="1" applyAlignment="1">
      <alignment/>
    </xf>
    <xf numFmtId="43" fontId="4" fillId="0" borderId="11" xfId="15" applyFont="1" applyBorder="1" applyAlignment="1">
      <alignment horizontal="right"/>
    </xf>
    <xf numFmtId="172" fontId="4" fillId="0" borderId="6" xfId="15" applyNumberFormat="1" applyFont="1" applyBorder="1" applyAlignment="1">
      <alignment/>
    </xf>
    <xf numFmtId="172" fontId="4" fillId="0" borderId="8" xfId="15" applyNumberFormat="1" applyFont="1" applyBorder="1" applyAlignment="1">
      <alignment/>
    </xf>
    <xf numFmtId="172" fontId="4" fillId="0" borderId="0" xfId="15" applyNumberFormat="1" applyFont="1" applyBorder="1" applyAlignment="1">
      <alignment/>
    </xf>
    <xf numFmtId="0" fontId="22" fillId="0" borderId="11" xfId="0" applyFont="1" applyBorder="1" applyAlignment="1">
      <alignment/>
    </xf>
    <xf numFmtId="0" fontId="19" fillId="0" borderId="5" xfId="0" applyFont="1" applyBorder="1" applyAlignment="1">
      <alignment/>
    </xf>
    <xf numFmtId="0" fontId="24" fillId="0" borderId="2" xfId="0" applyFont="1" applyBorder="1" applyAlignment="1">
      <alignment horizontal="center"/>
    </xf>
    <xf numFmtId="0" fontId="24" fillId="0" borderId="5" xfId="0" applyFont="1" applyBorder="1" applyAlignment="1">
      <alignment horizontal="center"/>
    </xf>
    <xf numFmtId="0" fontId="22" fillId="0" borderId="5" xfId="0" applyFont="1" applyBorder="1" applyAlignment="1">
      <alignment/>
    </xf>
    <xf numFmtId="43" fontId="4" fillId="0" borderId="6" xfId="0" applyNumberFormat="1" applyFont="1" applyBorder="1" applyAlignment="1">
      <alignment/>
    </xf>
    <xf numFmtId="43" fontId="4" fillId="0" borderId="6" xfId="15" applyNumberFormat="1" applyFont="1" applyBorder="1" applyAlignment="1">
      <alignment/>
    </xf>
    <xf numFmtId="43" fontId="4" fillId="0" borderId="8" xfId="15" applyNumberFormat="1" applyFont="1" applyBorder="1" applyAlignment="1">
      <alignment/>
    </xf>
    <xf numFmtId="43" fontId="5" fillId="0" borderId="8" xfId="0" applyNumberFormat="1" applyFont="1" applyBorder="1" applyAlignment="1">
      <alignment/>
    </xf>
    <xf numFmtId="44" fontId="5" fillId="0" borderId="10" xfId="17" applyFont="1" applyBorder="1" applyAlignment="1">
      <alignment/>
    </xf>
    <xf numFmtId="10" fontId="5" fillId="0" borderId="10" xfId="0" applyNumberFormat="1" applyFont="1" applyBorder="1" applyAlignment="1">
      <alignment/>
    </xf>
    <xf numFmtId="10" fontId="5" fillId="0" borderId="13" xfId="19" applyNumberFormat="1" applyFont="1" applyBorder="1" applyAlignment="1">
      <alignment/>
    </xf>
    <xf numFmtId="0" fontId="4" fillId="0" borderId="5" xfId="0" applyFont="1" applyBorder="1" applyAlignment="1">
      <alignment horizontal="left"/>
    </xf>
    <xf numFmtId="0" fontId="5" fillId="0" borderId="11" xfId="0" applyFont="1" applyBorder="1" applyAlignment="1">
      <alignment/>
    </xf>
    <xf numFmtId="0" fontId="5" fillId="0" borderId="9" xfId="0" applyFont="1" applyBorder="1" applyAlignment="1">
      <alignment/>
    </xf>
    <xf numFmtId="0" fontId="5" fillId="0" borderId="12" xfId="0" applyFont="1" applyBorder="1" applyAlignment="1">
      <alignment/>
    </xf>
    <xf numFmtId="10" fontId="4" fillId="0" borderId="8" xfId="19" applyNumberFormat="1" applyFont="1" applyBorder="1" applyAlignment="1">
      <alignment horizontal="center"/>
    </xf>
    <xf numFmtId="49" fontId="5" fillId="0" borderId="0" xfId="0" applyNumberFormat="1" applyFont="1" applyAlignment="1">
      <alignment horizontal="center" vertical="center"/>
    </xf>
    <xf numFmtId="0" fontId="5" fillId="0" borderId="9" xfId="0" applyFont="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4" fillId="0" borderId="0" xfId="0" applyFont="1" applyAlignment="1">
      <alignment horizontal="center" vertical="center" wrapText="1"/>
    </xf>
    <xf numFmtId="0" fontId="5" fillId="0" borderId="4" xfId="0" applyFont="1" applyBorder="1" applyAlignment="1">
      <alignment horizontal="right" vertical="center" wrapText="1"/>
    </xf>
    <xf numFmtId="0" fontId="5" fillId="0" borderId="7" xfId="0" applyFont="1" applyBorder="1" applyAlignment="1">
      <alignment horizontal="right" vertical="center" wrapText="1"/>
    </xf>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horizontal="right" vertical="center"/>
    </xf>
    <xf numFmtId="0" fontId="5" fillId="0" borderId="15" xfId="0" applyFont="1" applyBorder="1" applyAlignment="1">
      <alignment horizontal="center" vertical="center"/>
    </xf>
    <xf numFmtId="0" fontId="5" fillId="0" borderId="13" xfId="0" applyFont="1" applyBorder="1" applyAlignment="1">
      <alignment vertical="center"/>
    </xf>
    <xf numFmtId="2" fontId="5" fillId="0" borderId="15" xfId="0" applyNumberFormat="1" applyFont="1" applyBorder="1" applyAlignment="1">
      <alignment horizontal="center" vertical="center"/>
    </xf>
    <xf numFmtId="2" fontId="5" fillId="0" borderId="13" xfId="0" applyNumberFormat="1" applyFont="1" applyBorder="1" applyAlignment="1">
      <alignment vertical="center"/>
    </xf>
    <xf numFmtId="10" fontId="5" fillId="0" borderId="15" xfId="19" applyNumberFormat="1" applyFont="1" applyBorder="1" applyAlignment="1">
      <alignment horizontal="center" vertical="center"/>
    </xf>
    <xf numFmtId="10" fontId="5" fillId="0" borderId="13" xfId="19" applyNumberFormat="1" applyFont="1" applyBorder="1" applyAlignment="1">
      <alignment vertical="center"/>
    </xf>
    <xf numFmtId="0" fontId="5" fillId="0" borderId="5" xfId="0" applyFont="1" applyBorder="1" applyAlignment="1">
      <alignment horizontal="center"/>
    </xf>
    <xf numFmtId="0" fontId="5" fillId="0" borderId="8" xfId="0" applyFont="1" applyBorder="1" applyAlignment="1">
      <alignment horizontal="center"/>
    </xf>
    <xf numFmtId="10" fontId="4" fillId="0" borderId="0" xfId="19" applyNumberFormat="1" applyFont="1" applyBorder="1" applyAlignment="1">
      <alignment horizontal="center"/>
    </xf>
    <xf numFmtId="10" fontId="4" fillId="0" borderId="6" xfId="19" applyNumberFormat="1" applyFont="1" applyBorder="1" applyAlignment="1">
      <alignment horizontal="center"/>
    </xf>
    <xf numFmtId="0" fontId="4" fillId="0" borderId="0" xfId="0" applyFont="1" applyAlignment="1">
      <alignment horizontal="right" vertical="center"/>
    </xf>
    <xf numFmtId="10" fontId="4" fillId="0" borderId="5" xfId="19" applyNumberFormat="1" applyFont="1" applyBorder="1" applyAlignment="1">
      <alignment horizontal="center"/>
    </xf>
    <xf numFmtId="0" fontId="5" fillId="0" borderId="5" xfId="0" applyFont="1" applyBorder="1" applyAlignment="1">
      <alignment horizontal="center" vertical="center"/>
    </xf>
    <xf numFmtId="39" fontId="4" fillId="0" borderId="0" xfId="15" applyNumberFormat="1" applyFont="1" applyBorder="1" applyAlignment="1">
      <alignment horizontal="center"/>
    </xf>
    <xf numFmtId="1" fontId="4" fillId="0" borderId="4" xfId="15" applyNumberFormat="1" applyFont="1" applyBorder="1" applyAlignment="1">
      <alignment horizontal="center"/>
    </xf>
    <xf numFmtId="1" fontId="4" fillId="0" borderId="0" xfId="15" applyNumberFormat="1" applyFont="1" applyBorder="1" applyAlignment="1">
      <alignment horizontal="center"/>
    </xf>
    <xf numFmtId="0" fontId="4" fillId="0" borderId="11" xfId="0" applyFont="1" applyBorder="1" applyAlignment="1">
      <alignment horizontal="center" wrapText="1"/>
    </xf>
    <xf numFmtId="0" fontId="4" fillId="0" borderId="9" xfId="0" applyFont="1" applyBorder="1" applyAlignment="1">
      <alignment horizontal="center" wrapText="1"/>
    </xf>
    <xf numFmtId="170" fontId="4" fillId="0" borderId="4" xfId="15" applyNumberFormat="1" applyFont="1" applyBorder="1" applyAlignment="1">
      <alignment horizontal="center"/>
    </xf>
    <xf numFmtId="170" fontId="4" fillId="0" borderId="0" xfId="15" applyNumberFormat="1" applyFont="1" applyBorder="1" applyAlignment="1">
      <alignment horizontal="center"/>
    </xf>
    <xf numFmtId="2" fontId="4" fillId="0" borderId="0" xfId="15" applyNumberFormat="1" applyFont="1" applyBorder="1" applyAlignment="1">
      <alignment horizontal="center"/>
    </xf>
    <xf numFmtId="44" fontId="26" fillId="0" borderId="13" xfId="17" applyFont="1" applyBorder="1" applyAlignment="1">
      <alignment/>
    </xf>
    <xf numFmtId="10" fontId="26" fillId="0" borderId="10" xfId="19" applyNumberFormat="1" applyFont="1" applyBorder="1" applyAlignment="1">
      <alignment/>
    </xf>
    <xf numFmtId="0" fontId="27" fillId="0" borderId="0" xfId="0" applyFont="1" applyAlignment="1">
      <alignment/>
    </xf>
    <xf numFmtId="43" fontId="4" fillId="0" borderId="0" xfId="15" applyNumberFormat="1" applyFont="1" applyBorder="1" applyAlignment="1">
      <alignment/>
    </xf>
    <xf numFmtId="0" fontId="5"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23</xdr:row>
      <xdr:rowOff>47625</xdr:rowOff>
    </xdr:from>
    <xdr:to>
      <xdr:col>9</xdr:col>
      <xdr:colOff>276225</xdr:colOff>
      <xdr:row>26</xdr:row>
      <xdr:rowOff>85725</xdr:rowOff>
    </xdr:to>
    <xdr:sp>
      <xdr:nvSpPr>
        <xdr:cNvPr id="1" name="Rectangle 1"/>
        <xdr:cNvSpPr>
          <a:spLocks/>
        </xdr:cNvSpPr>
      </xdr:nvSpPr>
      <xdr:spPr>
        <a:xfrm>
          <a:off x="257175" y="4076700"/>
          <a:ext cx="6381750" cy="5524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solidFill>
                <a:srgbClr val="000000"/>
              </a:solidFill>
            </a:rPr>
            <a:t>Yield to Maturity: 6%p.a. for all maturities due to flat term structure, or 3% semiannualy.
We use the yield to maturity for each corresponding period to the respective discount cash flow in order to price the 10-year bond</a:t>
          </a:r>
          <a:r>
            <a:rPr lang="en-US" cap="none" sz="1000" b="0" i="0" u="none" baseline="0">
              <a:solidFill>
                <a:srgbClr val="000000"/>
              </a:solidFill>
              <a:latin typeface="Arial"/>
              <a:ea typeface="Arial"/>
              <a:cs typeface="Arial"/>
            </a:rPr>
            <a:t>.</a:t>
          </a:r>
        </a:p>
      </xdr:txBody>
    </xdr:sp>
    <xdr:clientData/>
  </xdr:twoCellAnchor>
  <xdr:twoCellAnchor>
    <xdr:from>
      <xdr:col>1</xdr:col>
      <xdr:colOff>19050</xdr:colOff>
      <xdr:row>27</xdr:row>
      <xdr:rowOff>9525</xdr:rowOff>
    </xdr:from>
    <xdr:to>
      <xdr:col>6</xdr:col>
      <xdr:colOff>228600</xdr:colOff>
      <xdr:row>28</xdr:row>
      <xdr:rowOff>76200</xdr:rowOff>
    </xdr:to>
    <xdr:sp>
      <xdr:nvSpPr>
        <xdr:cNvPr id="2" name="Rectangle 3"/>
        <xdr:cNvSpPr>
          <a:spLocks/>
        </xdr:cNvSpPr>
      </xdr:nvSpPr>
      <xdr:spPr>
        <a:xfrm>
          <a:off x="257175" y="4724400"/>
          <a:ext cx="41624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PV(bond) = PV( coupon payments) + PV( final principal payment)</a:t>
          </a:r>
        </a:p>
      </xdr:txBody>
    </xdr:sp>
    <xdr:clientData/>
  </xdr:twoCellAnchor>
  <xdr:twoCellAnchor>
    <xdr:from>
      <xdr:col>4</xdr:col>
      <xdr:colOff>180975</xdr:colOff>
      <xdr:row>12</xdr:row>
      <xdr:rowOff>0</xdr:rowOff>
    </xdr:from>
    <xdr:to>
      <xdr:col>4</xdr:col>
      <xdr:colOff>276225</xdr:colOff>
      <xdr:row>12</xdr:row>
      <xdr:rowOff>0</xdr:rowOff>
    </xdr:to>
    <xdr:sp>
      <xdr:nvSpPr>
        <xdr:cNvPr id="3" name="Line 7"/>
        <xdr:cNvSpPr>
          <a:spLocks/>
        </xdr:cNvSpPr>
      </xdr:nvSpPr>
      <xdr:spPr>
        <a:xfrm>
          <a:off x="2609850" y="20574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48</xdr:row>
      <xdr:rowOff>0</xdr:rowOff>
    </xdr:from>
    <xdr:to>
      <xdr:col>4</xdr:col>
      <xdr:colOff>276225</xdr:colOff>
      <xdr:row>48</xdr:row>
      <xdr:rowOff>0</xdr:rowOff>
    </xdr:to>
    <xdr:sp>
      <xdr:nvSpPr>
        <xdr:cNvPr id="4" name="Line 9"/>
        <xdr:cNvSpPr>
          <a:spLocks/>
        </xdr:cNvSpPr>
      </xdr:nvSpPr>
      <xdr:spPr>
        <a:xfrm>
          <a:off x="2609850" y="84677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56</xdr:row>
      <xdr:rowOff>0</xdr:rowOff>
    </xdr:from>
    <xdr:to>
      <xdr:col>4</xdr:col>
      <xdr:colOff>276225</xdr:colOff>
      <xdr:row>56</xdr:row>
      <xdr:rowOff>0</xdr:rowOff>
    </xdr:to>
    <xdr:sp>
      <xdr:nvSpPr>
        <xdr:cNvPr id="5" name="Line 11"/>
        <xdr:cNvSpPr>
          <a:spLocks/>
        </xdr:cNvSpPr>
      </xdr:nvSpPr>
      <xdr:spPr>
        <a:xfrm>
          <a:off x="2609850" y="99345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64</xdr:row>
      <xdr:rowOff>0</xdr:rowOff>
    </xdr:from>
    <xdr:to>
      <xdr:col>4</xdr:col>
      <xdr:colOff>276225</xdr:colOff>
      <xdr:row>64</xdr:row>
      <xdr:rowOff>0</xdr:rowOff>
    </xdr:to>
    <xdr:sp>
      <xdr:nvSpPr>
        <xdr:cNvPr id="6" name="Line 13"/>
        <xdr:cNvSpPr>
          <a:spLocks/>
        </xdr:cNvSpPr>
      </xdr:nvSpPr>
      <xdr:spPr>
        <a:xfrm>
          <a:off x="2609850" y="114014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28575</xdr:rowOff>
    </xdr:from>
    <xdr:to>
      <xdr:col>8</xdr:col>
      <xdr:colOff>381000</xdr:colOff>
      <xdr:row>89</xdr:row>
      <xdr:rowOff>85725</xdr:rowOff>
    </xdr:to>
    <xdr:sp>
      <xdr:nvSpPr>
        <xdr:cNvPr id="7" name="Rectangle 16"/>
        <xdr:cNvSpPr>
          <a:spLocks/>
        </xdr:cNvSpPr>
      </xdr:nvSpPr>
      <xdr:spPr>
        <a:xfrm>
          <a:off x="276225" y="15706725"/>
          <a:ext cx="5734050" cy="390525"/>
        </a:xfrm>
        <a:prstGeom prst="rect">
          <a:avLst/>
        </a:prstGeom>
        <a:solidFill>
          <a:srgbClr val="FFFFFF"/>
        </a:solidFill>
        <a:ln w="9525" cmpd="sng">
          <a:noFill/>
        </a:ln>
      </xdr:spPr>
      <xdr:txBody>
        <a:bodyPr vertOverflow="clip" wrap="square"/>
        <a:p>
          <a:pPr algn="l">
            <a:defRPr/>
          </a:pPr>
          <a:r>
            <a:rPr lang="en-US" cap="none" sz="1000" b="0" i="0" u="none" baseline="0"/>
            <a:t>Based on the expectations hypothesis, forward rates are unbiased predictors of expected future spot rates. If we know current spot rates, forward rates can be calculated as:</a:t>
          </a:r>
        </a:p>
      </xdr:txBody>
    </xdr:sp>
    <xdr:clientData/>
  </xdr:twoCellAnchor>
  <xdr:twoCellAnchor>
    <xdr:from>
      <xdr:col>4</xdr:col>
      <xdr:colOff>228600</xdr:colOff>
      <xdr:row>47</xdr:row>
      <xdr:rowOff>161925</xdr:rowOff>
    </xdr:from>
    <xdr:to>
      <xdr:col>4</xdr:col>
      <xdr:colOff>228600</xdr:colOff>
      <xdr:row>48</xdr:row>
      <xdr:rowOff>47625</xdr:rowOff>
    </xdr:to>
    <xdr:sp>
      <xdr:nvSpPr>
        <xdr:cNvPr id="8" name="Line 20"/>
        <xdr:cNvSpPr>
          <a:spLocks/>
        </xdr:cNvSpPr>
      </xdr:nvSpPr>
      <xdr:spPr>
        <a:xfrm>
          <a:off x="2657475" y="84296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55</xdr:row>
      <xdr:rowOff>152400</xdr:rowOff>
    </xdr:from>
    <xdr:to>
      <xdr:col>4</xdr:col>
      <xdr:colOff>228600</xdr:colOff>
      <xdr:row>56</xdr:row>
      <xdr:rowOff>47625</xdr:rowOff>
    </xdr:to>
    <xdr:sp>
      <xdr:nvSpPr>
        <xdr:cNvPr id="9" name="Line 21"/>
        <xdr:cNvSpPr>
          <a:spLocks/>
        </xdr:cNvSpPr>
      </xdr:nvSpPr>
      <xdr:spPr>
        <a:xfrm>
          <a:off x="2657475" y="98869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63</xdr:row>
      <xdr:rowOff>161925</xdr:rowOff>
    </xdr:from>
    <xdr:to>
      <xdr:col>4</xdr:col>
      <xdr:colOff>228600</xdr:colOff>
      <xdr:row>64</xdr:row>
      <xdr:rowOff>47625</xdr:rowOff>
    </xdr:to>
    <xdr:sp>
      <xdr:nvSpPr>
        <xdr:cNvPr id="10" name="Line 25"/>
        <xdr:cNvSpPr>
          <a:spLocks/>
        </xdr:cNvSpPr>
      </xdr:nvSpPr>
      <xdr:spPr>
        <a:xfrm>
          <a:off x="2657475" y="113633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119</xdr:row>
      <xdr:rowOff>9525</xdr:rowOff>
    </xdr:from>
    <xdr:to>
      <xdr:col>5</xdr:col>
      <xdr:colOff>466725</xdr:colOff>
      <xdr:row>119</xdr:row>
      <xdr:rowOff>9525</xdr:rowOff>
    </xdr:to>
    <xdr:sp>
      <xdr:nvSpPr>
        <xdr:cNvPr id="11" name="Line 26"/>
        <xdr:cNvSpPr>
          <a:spLocks/>
        </xdr:cNvSpPr>
      </xdr:nvSpPr>
      <xdr:spPr>
        <a:xfrm>
          <a:off x="3686175" y="211359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118</xdr:row>
      <xdr:rowOff>171450</xdr:rowOff>
    </xdr:from>
    <xdr:to>
      <xdr:col>5</xdr:col>
      <xdr:colOff>419100</xdr:colOff>
      <xdr:row>119</xdr:row>
      <xdr:rowOff>47625</xdr:rowOff>
    </xdr:to>
    <xdr:sp>
      <xdr:nvSpPr>
        <xdr:cNvPr id="12" name="Line 28"/>
        <xdr:cNvSpPr>
          <a:spLocks/>
        </xdr:cNvSpPr>
      </xdr:nvSpPr>
      <xdr:spPr>
        <a:xfrm>
          <a:off x="3714750" y="210978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123</xdr:row>
      <xdr:rowOff>9525</xdr:rowOff>
    </xdr:from>
    <xdr:to>
      <xdr:col>5</xdr:col>
      <xdr:colOff>466725</xdr:colOff>
      <xdr:row>123</xdr:row>
      <xdr:rowOff>9525</xdr:rowOff>
    </xdr:to>
    <xdr:sp>
      <xdr:nvSpPr>
        <xdr:cNvPr id="13" name="Line 29"/>
        <xdr:cNvSpPr>
          <a:spLocks/>
        </xdr:cNvSpPr>
      </xdr:nvSpPr>
      <xdr:spPr>
        <a:xfrm>
          <a:off x="3686175" y="217932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122</xdr:row>
      <xdr:rowOff>171450</xdr:rowOff>
    </xdr:from>
    <xdr:to>
      <xdr:col>5</xdr:col>
      <xdr:colOff>419100</xdr:colOff>
      <xdr:row>123</xdr:row>
      <xdr:rowOff>47625</xdr:rowOff>
    </xdr:to>
    <xdr:sp>
      <xdr:nvSpPr>
        <xdr:cNvPr id="14" name="Line 30"/>
        <xdr:cNvSpPr>
          <a:spLocks/>
        </xdr:cNvSpPr>
      </xdr:nvSpPr>
      <xdr:spPr>
        <a:xfrm>
          <a:off x="3714750" y="217551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128</xdr:row>
      <xdr:rowOff>9525</xdr:rowOff>
    </xdr:from>
    <xdr:to>
      <xdr:col>5</xdr:col>
      <xdr:colOff>466725</xdr:colOff>
      <xdr:row>128</xdr:row>
      <xdr:rowOff>9525</xdr:rowOff>
    </xdr:to>
    <xdr:sp>
      <xdr:nvSpPr>
        <xdr:cNvPr id="15" name="Line 31"/>
        <xdr:cNvSpPr>
          <a:spLocks/>
        </xdr:cNvSpPr>
      </xdr:nvSpPr>
      <xdr:spPr>
        <a:xfrm>
          <a:off x="3686175" y="226314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127</xdr:row>
      <xdr:rowOff>171450</xdr:rowOff>
    </xdr:from>
    <xdr:to>
      <xdr:col>5</xdr:col>
      <xdr:colOff>419100</xdr:colOff>
      <xdr:row>128</xdr:row>
      <xdr:rowOff>47625</xdr:rowOff>
    </xdr:to>
    <xdr:sp>
      <xdr:nvSpPr>
        <xdr:cNvPr id="16" name="Line 32"/>
        <xdr:cNvSpPr>
          <a:spLocks/>
        </xdr:cNvSpPr>
      </xdr:nvSpPr>
      <xdr:spPr>
        <a:xfrm>
          <a:off x="3714750" y="225933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133</xdr:row>
      <xdr:rowOff>9525</xdr:rowOff>
    </xdr:from>
    <xdr:to>
      <xdr:col>5</xdr:col>
      <xdr:colOff>466725</xdr:colOff>
      <xdr:row>133</xdr:row>
      <xdr:rowOff>9525</xdr:rowOff>
    </xdr:to>
    <xdr:sp>
      <xdr:nvSpPr>
        <xdr:cNvPr id="17" name="Line 33"/>
        <xdr:cNvSpPr>
          <a:spLocks/>
        </xdr:cNvSpPr>
      </xdr:nvSpPr>
      <xdr:spPr>
        <a:xfrm>
          <a:off x="3686175" y="234696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132</xdr:row>
      <xdr:rowOff>171450</xdr:rowOff>
    </xdr:from>
    <xdr:to>
      <xdr:col>5</xdr:col>
      <xdr:colOff>419100</xdr:colOff>
      <xdr:row>133</xdr:row>
      <xdr:rowOff>47625</xdr:rowOff>
    </xdr:to>
    <xdr:sp>
      <xdr:nvSpPr>
        <xdr:cNvPr id="18" name="Line 34"/>
        <xdr:cNvSpPr>
          <a:spLocks/>
        </xdr:cNvSpPr>
      </xdr:nvSpPr>
      <xdr:spPr>
        <a:xfrm>
          <a:off x="3714750" y="23431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135</xdr:row>
      <xdr:rowOff>19050</xdr:rowOff>
    </xdr:from>
    <xdr:to>
      <xdr:col>9</xdr:col>
      <xdr:colOff>152400</xdr:colOff>
      <xdr:row>142</xdr:row>
      <xdr:rowOff>19050</xdr:rowOff>
    </xdr:to>
    <xdr:sp>
      <xdr:nvSpPr>
        <xdr:cNvPr id="19" name="Rectangle 35"/>
        <xdr:cNvSpPr>
          <a:spLocks/>
        </xdr:cNvSpPr>
      </xdr:nvSpPr>
      <xdr:spPr>
        <a:xfrm>
          <a:off x="228600" y="23755350"/>
          <a:ext cx="6286500" cy="1143000"/>
        </a:xfrm>
        <a:prstGeom prst="rect">
          <a:avLst/>
        </a:prstGeom>
        <a:solidFill>
          <a:srgbClr val="FFFFFF"/>
        </a:solidFill>
        <a:ln w="9525" cmpd="sng">
          <a:noFill/>
        </a:ln>
      </xdr:spPr>
      <xdr:txBody>
        <a:bodyPr vertOverflow="clip" wrap="square"/>
        <a:p>
          <a:pPr algn="l">
            <a:defRPr/>
          </a:pPr>
          <a:r>
            <a:rPr lang="en-US" cap="none" sz="1000" b="0" i="0" u="none" baseline="0"/>
            <a:t>As we can see, Bond A and B are fairly priced based on the given spot rates.  However, since they have different cash flow patterns, their YTMs are different.  Because Bond A has more cash flows during the interim periods than Bond B and the yield curve given in #4 is upward sloping, therefore A has a lower YTM as more weight is given to the lower interest rates.
However, Yield on A is smaller than yield on B does not mean B is more attractive since both of them are fairly priced in the market.  </a:t>
          </a:r>
        </a:p>
      </xdr:txBody>
    </xdr:sp>
    <xdr:clientData/>
  </xdr:twoCellAnchor>
  <xdr:oneCellAnchor>
    <xdr:from>
      <xdr:col>3</xdr:col>
      <xdr:colOff>0</xdr:colOff>
      <xdr:row>24</xdr:row>
      <xdr:rowOff>161925</xdr:rowOff>
    </xdr:from>
    <xdr:ext cx="76200" cy="200025"/>
    <xdr:sp>
      <xdr:nvSpPr>
        <xdr:cNvPr id="20" name="TextBox 39"/>
        <xdr:cNvSpPr txBox="1">
          <a:spLocks noChangeArrowheads="1"/>
        </xdr:cNvSpPr>
      </xdr:nvSpPr>
      <xdr:spPr>
        <a:xfrm>
          <a:off x="1619250" y="4362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600075</xdr:colOff>
      <xdr:row>24</xdr:row>
      <xdr:rowOff>142875</xdr:rowOff>
    </xdr:from>
    <xdr:ext cx="76200" cy="200025"/>
    <xdr:sp>
      <xdr:nvSpPr>
        <xdr:cNvPr id="21" name="TextBox 40"/>
        <xdr:cNvSpPr txBox="1">
          <a:spLocks noChangeArrowheads="1"/>
        </xdr:cNvSpPr>
      </xdr:nvSpPr>
      <xdr:spPr>
        <a:xfrm>
          <a:off x="1524000" y="4343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685800</xdr:colOff>
      <xdr:row>24</xdr:row>
      <xdr:rowOff>152400</xdr:rowOff>
    </xdr:from>
    <xdr:ext cx="76200" cy="200025"/>
    <xdr:sp>
      <xdr:nvSpPr>
        <xdr:cNvPr id="22" name="TextBox 41"/>
        <xdr:cNvSpPr txBox="1">
          <a:spLocks noChangeArrowheads="1"/>
        </xdr:cNvSpPr>
      </xdr:nvSpPr>
      <xdr:spPr>
        <a:xfrm>
          <a:off x="1609725" y="4352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266700</xdr:colOff>
      <xdr:row>24</xdr:row>
      <xdr:rowOff>152400</xdr:rowOff>
    </xdr:from>
    <xdr:ext cx="76200" cy="200025"/>
    <xdr:sp>
      <xdr:nvSpPr>
        <xdr:cNvPr id="23" name="TextBox 42"/>
        <xdr:cNvSpPr txBox="1">
          <a:spLocks noChangeArrowheads="1"/>
        </xdr:cNvSpPr>
      </xdr:nvSpPr>
      <xdr:spPr>
        <a:xfrm>
          <a:off x="1190625" y="4352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180975</xdr:colOff>
      <xdr:row>25</xdr:row>
      <xdr:rowOff>114300</xdr:rowOff>
    </xdr:from>
    <xdr:ext cx="76200" cy="200025"/>
    <xdr:sp>
      <xdr:nvSpPr>
        <xdr:cNvPr id="24" name="TextBox 43"/>
        <xdr:cNvSpPr txBox="1">
          <a:spLocks noChangeArrowheads="1"/>
        </xdr:cNvSpPr>
      </xdr:nvSpPr>
      <xdr:spPr>
        <a:xfrm>
          <a:off x="1104900" y="4486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219075</xdr:colOff>
      <xdr:row>24</xdr:row>
      <xdr:rowOff>152400</xdr:rowOff>
    </xdr:from>
    <xdr:ext cx="76200" cy="200025"/>
    <xdr:sp>
      <xdr:nvSpPr>
        <xdr:cNvPr id="25" name="TextBox 44"/>
        <xdr:cNvSpPr txBox="1">
          <a:spLocks noChangeArrowheads="1"/>
        </xdr:cNvSpPr>
      </xdr:nvSpPr>
      <xdr:spPr>
        <a:xfrm>
          <a:off x="1143000" y="4352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200025</xdr:colOff>
      <xdr:row>23</xdr:row>
      <xdr:rowOff>161925</xdr:rowOff>
    </xdr:from>
    <xdr:ext cx="76200" cy="200025"/>
    <xdr:sp>
      <xdr:nvSpPr>
        <xdr:cNvPr id="26" name="TextBox 45"/>
        <xdr:cNvSpPr txBox="1">
          <a:spLocks noChangeArrowheads="1"/>
        </xdr:cNvSpPr>
      </xdr:nvSpPr>
      <xdr:spPr>
        <a:xfrm>
          <a:off x="1123950" y="4191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533400</xdr:colOff>
      <xdr:row>26</xdr:row>
      <xdr:rowOff>9525</xdr:rowOff>
    </xdr:from>
    <xdr:ext cx="76200" cy="200025"/>
    <xdr:sp>
      <xdr:nvSpPr>
        <xdr:cNvPr id="27" name="TextBox 47"/>
        <xdr:cNvSpPr txBox="1">
          <a:spLocks noChangeArrowheads="1"/>
        </xdr:cNvSpPr>
      </xdr:nvSpPr>
      <xdr:spPr>
        <a:xfrm>
          <a:off x="1457325" y="4552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4</xdr:col>
      <xdr:colOff>228600</xdr:colOff>
      <xdr:row>11</xdr:row>
      <xdr:rowOff>161925</xdr:rowOff>
    </xdr:from>
    <xdr:to>
      <xdr:col>4</xdr:col>
      <xdr:colOff>228600</xdr:colOff>
      <xdr:row>12</xdr:row>
      <xdr:rowOff>47625</xdr:rowOff>
    </xdr:to>
    <xdr:sp>
      <xdr:nvSpPr>
        <xdr:cNvPr id="28" name="Line 49"/>
        <xdr:cNvSpPr>
          <a:spLocks/>
        </xdr:cNvSpPr>
      </xdr:nvSpPr>
      <xdr:spPr>
        <a:xfrm>
          <a:off x="2657475" y="20097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168</xdr:row>
      <xdr:rowOff>76200</xdr:rowOff>
    </xdr:from>
    <xdr:to>
      <xdr:col>9</xdr:col>
      <xdr:colOff>114300</xdr:colOff>
      <xdr:row>172</xdr:row>
      <xdr:rowOff>76200</xdr:rowOff>
    </xdr:to>
    <xdr:sp>
      <xdr:nvSpPr>
        <xdr:cNvPr id="29" name="Rectangle 55"/>
        <xdr:cNvSpPr>
          <a:spLocks/>
        </xdr:cNvSpPr>
      </xdr:nvSpPr>
      <xdr:spPr>
        <a:xfrm>
          <a:off x="266700" y="29527500"/>
          <a:ext cx="6210300" cy="676275"/>
        </a:xfrm>
        <a:prstGeom prst="rect">
          <a:avLst/>
        </a:prstGeom>
        <a:solidFill>
          <a:srgbClr val="FFFFFF"/>
        </a:solidFill>
        <a:ln w="9525" cmpd="sng">
          <a:noFill/>
        </a:ln>
      </xdr:spPr>
      <xdr:txBody>
        <a:bodyPr vertOverflow="clip" wrap="square"/>
        <a:p>
          <a:pPr algn="l">
            <a:defRPr/>
          </a:pPr>
          <a:r>
            <a:rPr lang="en-US" cap="none" sz="1000" b="0" i="0" u="none" baseline="0"/>
            <a:t>Arbitrage opportunity implied that two cash flows at the same date are priced at different spot rates. For the same cash flow patterns, the prices should be the same. If not, meaning same cash flows at the same date are discounted at different spot rates. You can take advantage of an arbitrage opportunity by either earning a positive cash flow today and incuring zero cash flow in the future or vis versa.</a:t>
          </a:r>
        </a:p>
      </xdr:txBody>
    </xdr:sp>
    <xdr:clientData/>
  </xdr:twoCellAnchor>
  <xdr:twoCellAnchor>
    <xdr:from>
      <xdr:col>1</xdr:col>
      <xdr:colOff>19050</xdr:colOff>
      <xdr:row>183</xdr:row>
      <xdr:rowOff>85725</xdr:rowOff>
    </xdr:from>
    <xdr:to>
      <xdr:col>8</xdr:col>
      <xdr:colOff>514350</xdr:colOff>
      <xdr:row>186</xdr:row>
      <xdr:rowOff>142875</xdr:rowOff>
    </xdr:to>
    <xdr:sp>
      <xdr:nvSpPr>
        <xdr:cNvPr id="30" name="Rectangle 59"/>
        <xdr:cNvSpPr>
          <a:spLocks/>
        </xdr:cNvSpPr>
      </xdr:nvSpPr>
      <xdr:spPr>
        <a:xfrm>
          <a:off x="257175" y="32156400"/>
          <a:ext cx="5886450" cy="552450"/>
        </a:xfrm>
        <a:prstGeom prst="rect">
          <a:avLst/>
        </a:prstGeom>
        <a:solidFill>
          <a:srgbClr val="FFFFFF"/>
        </a:solidFill>
        <a:ln w="9525" cmpd="sng">
          <a:noFill/>
        </a:ln>
      </xdr:spPr>
      <xdr:txBody>
        <a:bodyPr vertOverflow="clip" wrap="square"/>
        <a:p>
          <a:pPr algn="l">
            <a:defRPr/>
          </a:pPr>
          <a:r>
            <a:rPr lang="en-US" cap="none" sz="1000" b="0" i="0" u="none" baseline="0"/>
            <a:t>Since we don't know which set of spot rates are correct, it could be that Bond C is over-priced or B&amp;D are under-priced.  Either case, since miss-pricing exists, there is an arbitrage opportunity by selling the over-priced Bond C or buying the under-priced Bond B &amp; D.  One way to take advantage of this opportunity is:</a:t>
          </a:r>
        </a:p>
      </xdr:txBody>
    </xdr:sp>
    <xdr:clientData/>
  </xdr:twoCellAnchor>
  <xdr:twoCellAnchor>
    <xdr:from>
      <xdr:col>1</xdr:col>
      <xdr:colOff>38100</xdr:colOff>
      <xdr:row>196</xdr:row>
      <xdr:rowOff>57150</xdr:rowOff>
    </xdr:from>
    <xdr:to>
      <xdr:col>8</xdr:col>
      <xdr:colOff>542925</xdr:colOff>
      <xdr:row>200</xdr:row>
      <xdr:rowOff>152400</xdr:rowOff>
    </xdr:to>
    <xdr:sp>
      <xdr:nvSpPr>
        <xdr:cNvPr id="31" name="Rectangle 61"/>
        <xdr:cNvSpPr>
          <a:spLocks/>
        </xdr:cNvSpPr>
      </xdr:nvSpPr>
      <xdr:spPr>
        <a:xfrm>
          <a:off x="276225" y="34404300"/>
          <a:ext cx="5895975" cy="771525"/>
        </a:xfrm>
        <a:prstGeom prst="rect">
          <a:avLst/>
        </a:prstGeom>
        <a:solidFill>
          <a:srgbClr val="FFFFFF"/>
        </a:solidFill>
        <a:ln w="9525" cmpd="sng">
          <a:noFill/>
        </a:ln>
      </xdr:spPr>
      <xdr:txBody>
        <a:bodyPr vertOverflow="clip" wrap="square"/>
        <a:p>
          <a:pPr algn="l">
            <a:defRPr/>
          </a:pPr>
          <a:r>
            <a:rPr lang="en-US" cap="none" sz="1000" b="0" i="0" u="none" baseline="0"/>
            <a:t>Since the cash flow patterns for A+E and 2F are the same, they should have the same price.  If not, arbitrage opportunity exists due to miss pricing.  Although we don't know whether A and E are under valued or F is over valued, we still can take advantage of this situation by buying low (A+E) and selling high (2F).</a:t>
          </a:r>
        </a:p>
      </xdr:txBody>
    </xdr:sp>
    <xdr:clientData/>
  </xdr:twoCellAnchor>
  <xdr:twoCellAnchor>
    <xdr:from>
      <xdr:col>0</xdr:col>
      <xdr:colOff>228600</xdr:colOff>
      <xdr:row>255</xdr:row>
      <xdr:rowOff>104775</xdr:rowOff>
    </xdr:from>
    <xdr:to>
      <xdr:col>9</xdr:col>
      <xdr:colOff>323850</xdr:colOff>
      <xdr:row>265</xdr:row>
      <xdr:rowOff>76200</xdr:rowOff>
    </xdr:to>
    <xdr:sp>
      <xdr:nvSpPr>
        <xdr:cNvPr id="32" name="Rectangle 78"/>
        <xdr:cNvSpPr>
          <a:spLocks/>
        </xdr:cNvSpPr>
      </xdr:nvSpPr>
      <xdr:spPr>
        <a:xfrm>
          <a:off x="228600" y="44119800"/>
          <a:ext cx="6457950" cy="1590675"/>
        </a:xfrm>
        <a:prstGeom prst="rect">
          <a:avLst/>
        </a:prstGeom>
        <a:solidFill>
          <a:srgbClr val="FFFFFF"/>
        </a:solidFill>
        <a:ln w="9525" cmpd="sng">
          <a:noFill/>
        </a:ln>
      </xdr:spPr>
      <xdr:txBody>
        <a:bodyPr vertOverflow="clip" wrap="square"/>
        <a:p>
          <a:pPr algn="l">
            <a:defRPr/>
          </a:pPr>
          <a:r>
            <a:rPr lang="en-US" cap="none" sz="1000" b="0" i="0" u="none" baseline="0"/>
            <a:t>The actual forward rate for Pint and Wasp deviate from the implied forward rates, arbitrage opportunity exists.
         </a:t>
          </a:r>
          <a:r>
            <a:rPr lang="en-US" cap="none" sz="1000" b="0" i="0" u="sng" baseline="0"/>
            <a:t>For Pint</a:t>
          </a:r>
          <a:r>
            <a:rPr lang="en-US" cap="none" sz="1000" b="0" i="0" u="none" baseline="0"/>
            <a:t>, the actual forward rate is 18.0P/$, which is higher than 17.93P/$, therefore we should lock in the difference through entering a forward contract today to sell dollar at 18.0P/$ one period later.   At the same time, we buy $1 at 17.1 Pint and deposit it at 3% for a year.  By the end of the year,  I will have $1.03, which is used to exchange for 18.54 Pint under the forward contract. This gives me a higher amount than just depositing the 17.1 Pint at 8% for a year, which would give me 18.47 Pint. 
         </a:t>
          </a:r>
          <a:r>
            <a:rPr lang="en-US" cap="none" sz="1000" b="0" i="0" u="sng" baseline="0"/>
            <a:t>For Wasp</a:t>
          </a:r>
          <a:r>
            <a:rPr lang="en-US" cap="none" sz="1000" b="0" i="0" u="none" baseline="0"/>
            <a:t>, the actual rate of 2.28W/$ is lower than 2.32W/$, so we should lock in the lower rate by entering into a forward contract to buy dollar at 2.28W/$.  Today, we use $1 to buy Wasp at 2.3W/$ and deposit the proceed at 4.1%. A year later, we have 2.3943 Wasp, which can buy $1.05.  This amount is higher than depositing $1 at 3%.</a:t>
          </a:r>
        </a:p>
      </xdr:txBody>
    </xdr:sp>
    <xdr:clientData/>
  </xdr:twoCellAnchor>
  <xdr:twoCellAnchor>
    <xdr:from>
      <xdr:col>3</xdr:col>
      <xdr:colOff>142875</xdr:colOff>
      <xdr:row>232</xdr:row>
      <xdr:rowOff>0</xdr:rowOff>
    </xdr:from>
    <xdr:to>
      <xdr:col>3</xdr:col>
      <xdr:colOff>657225</xdr:colOff>
      <xdr:row>232</xdr:row>
      <xdr:rowOff>0</xdr:rowOff>
    </xdr:to>
    <xdr:sp>
      <xdr:nvSpPr>
        <xdr:cNvPr id="33" name="Line 83"/>
        <xdr:cNvSpPr>
          <a:spLocks/>
        </xdr:cNvSpPr>
      </xdr:nvSpPr>
      <xdr:spPr>
        <a:xfrm>
          <a:off x="1762125" y="403955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232</xdr:row>
      <xdr:rowOff>0</xdr:rowOff>
    </xdr:from>
    <xdr:to>
      <xdr:col>4</xdr:col>
      <xdr:colOff>733425</xdr:colOff>
      <xdr:row>232</xdr:row>
      <xdr:rowOff>0</xdr:rowOff>
    </xdr:to>
    <xdr:sp>
      <xdr:nvSpPr>
        <xdr:cNvPr id="34" name="Line 84"/>
        <xdr:cNvSpPr>
          <a:spLocks/>
        </xdr:cNvSpPr>
      </xdr:nvSpPr>
      <xdr:spPr>
        <a:xfrm>
          <a:off x="2524125" y="403955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236</xdr:row>
      <xdr:rowOff>0</xdr:rowOff>
    </xdr:from>
    <xdr:to>
      <xdr:col>4</xdr:col>
      <xdr:colOff>133350</xdr:colOff>
      <xdr:row>236</xdr:row>
      <xdr:rowOff>0</xdr:rowOff>
    </xdr:to>
    <xdr:sp>
      <xdr:nvSpPr>
        <xdr:cNvPr id="35" name="Line 85"/>
        <xdr:cNvSpPr>
          <a:spLocks/>
        </xdr:cNvSpPr>
      </xdr:nvSpPr>
      <xdr:spPr>
        <a:xfrm>
          <a:off x="2486025" y="410051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236</xdr:row>
      <xdr:rowOff>0</xdr:rowOff>
    </xdr:from>
    <xdr:to>
      <xdr:col>4</xdr:col>
      <xdr:colOff>609600</xdr:colOff>
      <xdr:row>236</xdr:row>
      <xdr:rowOff>0</xdr:rowOff>
    </xdr:to>
    <xdr:sp>
      <xdr:nvSpPr>
        <xdr:cNvPr id="36" name="Line 87"/>
        <xdr:cNvSpPr>
          <a:spLocks/>
        </xdr:cNvSpPr>
      </xdr:nvSpPr>
      <xdr:spPr>
        <a:xfrm>
          <a:off x="2667000" y="4100512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236</xdr:row>
      <xdr:rowOff>0</xdr:rowOff>
    </xdr:from>
    <xdr:to>
      <xdr:col>2</xdr:col>
      <xdr:colOff>542925</xdr:colOff>
      <xdr:row>236</xdr:row>
      <xdr:rowOff>0</xdr:rowOff>
    </xdr:to>
    <xdr:sp>
      <xdr:nvSpPr>
        <xdr:cNvPr id="37" name="Line 88"/>
        <xdr:cNvSpPr>
          <a:spLocks/>
        </xdr:cNvSpPr>
      </xdr:nvSpPr>
      <xdr:spPr>
        <a:xfrm>
          <a:off x="1038225" y="410051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240</xdr:row>
      <xdr:rowOff>0</xdr:rowOff>
    </xdr:from>
    <xdr:to>
      <xdr:col>3</xdr:col>
      <xdr:colOff>619125</xdr:colOff>
      <xdr:row>240</xdr:row>
      <xdr:rowOff>0</xdr:rowOff>
    </xdr:to>
    <xdr:sp>
      <xdr:nvSpPr>
        <xdr:cNvPr id="38" name="Line 89"/>
        <xdr:cNvSpPr>
          <a:spLocks/>
        </xdr:cNvSpPr>
      </xdr:nvSpPr>
      <xdr:spPr>
        <a:xfrm>
          <a:off x="1781175" y="416433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240</xdr:row>
      <xdr:rowOff>0</xdr:rowOff>
    </xdr:from>
    <xdr:to>
      <xdr:col>4</xdr:col>
      <xdr:colOff>704850</xdr:colOff>
      <xdr:row>240</xdr:row>
      <xdr:rowOff>0</xdr:rowOff>
    </xdr:to>
    <xdr:sp>
      <xdr:nvSpPr>
        <xdr:cNvPr id="39" name="Line 90"/>
        <xdr:cNvSpPr>
          <a:spLocks/>
        </xdr:cNvSpPr>
      </xdr:nvSpPr>
      <xdr:spPr>
        <a:xfrm>
          <a:off x="2524125" y="416433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243</xdr:row>
      <xdr:rowOff>0</xdr:rowOff>
    </xdr:from>
    <xdr:to>
      <xdr:col>3</xdr:col>
      <xdr:colOff>647700</xdr:colOff>
      <xdr:row>243</xdr:row>
      <xdr:rowOff>0</xdr:rowOff>
    </xdr:to>
    <xdr:sp>
      <xdr:nvSpPr>
        <xdr:cNvPr id="40" name="Line 91"/>
        <xdr:cNvSpPr>
          <a:spLocks/>
        </xdr:cNvSpPr>
      </xdr:nvSpPr>
      <xdr:spPr>
        <a:xfrm>
          <a:off x="1800225" y="420719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19050</xdr:rowOff>
    </xdr:from>
    <xdr:to>
      <xdr:col>9</xdr:col>
      <xdr:colOff>28575</xdr:colOff>
      <xdr:row>311</xdr:row>
      <xdr:rowOff>66675</xdr:rowOff>
    </xdr:to>
    <xdr:sp>
      <xdr:nvSpPr>
        <xdr:cNvPr id="41" name="Rectangle 94"/>
        <xdr:cNvSpPr>
          <a:spLocks/>
        </xdr:cNvSpPr>
      </xdr:nvSpPr>
      <xdr:spPr>
        <a:xfrm>
          <a:off x="257175" y="53901975"/>
          <a:ext cx="6134100" cy="542925"/>
        </a:xfrm>
        <a:prstGeom prst="rect">
          <a:avLst/>
        </a:prstGeom>
        <a:solidFill>
          <a:srgbClr val="FFFFFF"/>
        </a:solidFill>
        <a:ln w="9525" cmpd="sng">
          <a:noFill/>
        </a:ln>
      </xdr:spPr>
      <xdr:txBody>
        <a:bodyPr vertOverflow="clip" wrap="square"/>
        <a:p>
          <a:pPr algn="l">
            <a:defRPr/>
          </a:pPr>
          <a:r>
            <a:rPr lang="en-US" cap="none" sz="1000" b="0" i="0" u="none" baseline="0"/>
            <a:t>According to the example in class, there are two zeros still outstanding at t =2, P</a:t>
          </a:r>
          <a:r>
            <a:rPr lang="en-US" cap="none" sz="1000" b="0" i="0" u="none" baseline="-25000"/>
            <a:t>0</a:t>
          </a:r>
          <a:r>
            <a:rPr lang="en-US" cap="none" sz="1000" b="0" i="0" u="none" baseline="0"/>
            <a:t>(3) and P</a:t>
          </a:r>
          <a:r>
            <a:rPr lang="en-US" cap="none" sz="1000" b="0" i="0" u="none" baseline="-25000"/>
            <a:t>0</a:t>
          </a:r>
          <a:r>
            <a:rPr lang="en-US" cap="none" sz="1000" b="0" i="0" u="none" baseline="0"/>
            <a:t>(4).  To price these, we need to find the future spot rates at t =2 for 1 and 2 years.  If the expectation hypothesis is correct, then forward rates are unbiased predications of  future spots rates.  So, the one and two year spot rates are:</a:t>
          </a:r>
        </a:p>
      </xdr:txBody>
    </xdr:sp>
    <xdr:clientData/>
  </xdr:twoCellAnchor>
  <xdr:twoCellAnchor>
    <xdr:from>
      <xdr:col>1</xdr:col>
      <xdr:colOff>57150</xdr:colOff>
      <xdr:row>41</xdr:row>
      <xdr:rowOff>28575</xdr:rowOff>
    </xdr:from>
    <xdr:to>
      <xdr:col>8</xdr:col>
      <xdr:colOff>552450</xdr:colOff>
      <xdr:row>43</xdr:row>
      <xdr:rowOff>142875</xdr:rowOff>
    </xdr:to>
    <xdr:sp>
      <xdr:nvSpPr>
        <xdr:cNvPr id="42" name="Rectangle 96"/>
        <xdr:cNvSpPr>
          <a:spLocks/>
        </xdr:cNvSpPr>
      </xdr:nvSpPr>
      <xdr:spPr>
        <a:xfrm>
          <a:off x="295275" y="7267575"/>
          <a:ext cx="5886450" cy="457200"/>
        </a:xfrm>
        <a:prstGeom prst="rect">
          <a:avLst/>
        </a:prstGeom>
        <a:solidFill>
          <a:srgbClr val="FFFFFF"/>
        </a:solidFill>
        <a:ln w="9525" cmpd="sng">
          <a:noFill/>
        </a:ln>
      </xdr:spPr>
      <xdr:txBody>
        <a:bodyPr vertOverflow="clip" wrap="square"/>
        <a:p>
          <a:pPr algn="l">
            <a:defRPr/>
          </a:pPr>
          <a:r>
            <a:rPr lang="en-US" cap="none" sz="1200" b="1" i="0" u="none" baseline="0"/>
            <a:t>Correction: All the prices are quoted in the WSJ for </a:t>
          </a:r>
          <a:r>
            <a:rPr lang="en-US" cap="none" sz="1200" b="1" i="0" u="none" baseline="0">
              <a:solidFill>
                <a:srgbClr val="FF0000"/>
              </a:solidFill>
            </a:rPr>
            <a:t>Feb. 8, 1999, not 1996</a:t>
          </a:r>
          <a:r>
            <a:rPr lang="en-US" cap="none" sz="1200" b="1" i="0" u="none" baseline="0"/>
            <a:t>. 
Please base all your calculations on the corrected date.  </a:t>
          </a:r>
        </a:p>
      </xdr:txBody>
    </xdr:sp>
    <xdr:clientData/>
  </xdr:twoCellAnchor>
  <xdr:twoCellAnchor>
    <xdr:from>
      <xdr:col>0</xdr:col>
      <xdr:colOff>28575</xdr:colOff>
      <xdr:row>0</xdr:row>
      <xdr:rowOff>19050</xdr:rowOff>
    </xdr:from>
    <xdr:to>
      <xdr:col>8</xdr:col>
      <xdr:colOff>47625</xdr:colOff>
      <xdr:row>6</xdr:row>
      <xdr:rowOff>142875</xdr:rowOff>
    </xdr:to>
    <xdr:sp>
      <xdr:nvSpPr>
        <xdr:cNvPr id="43" name="Rectangle 102"/>
        <xdr:cNvSpPr>
          <a:spLocks/>
        </xdr:cNvSpPr>
      </xdr:nvSpPr>
      <xdr:spPr>
        <a:xfrm>
          <a:off x="28575" y="19050"/>
          <a:ext cx="5648325" cy="1104900"/>
        </a:xfrm>
        <a:prstGeom prst="rect">
          <a:avLst/>
        </a:prstGeom>
        <a:solidFill>
          <a:srgbClr val="FFFFFF"/>
        </a:solidFill>
        <a:ln w="9525" cmpd="sng">
          <a:noFill/>
        </a:ln>
      </xdr:spPr>
      <xdr:txBody>
        <a:bodyPr vertOverflow="clip" wrap="square"/>
        <a:p>
          <a:pPr algn="ctr">
            <a:defRPr/>
          </a:pPr>
          <a:r>
            <a:rPr lang="en-US" cap="none" sz="1200" b="1" i="0" u="none" baseline="0"/>
            <a:t>Finance Theory 15.415 </a:t>
          </a:r>
          <a:r>
            <a:rPr lang="en-US" cap="none" sz="1000" b="0" i="0" u="none" baseline="0"/>
            <a:t>
Section A &amp; B
</a:t>
          </a:r>
          <a:r>
            <a:rPr lang="en-US" cap="none" sz="1200" b="1" i="0" u="none" baseline="0"/>
            <a:t>Problem Set #2 Solution</a:t>
          </a:r>
          <a:r>
            <a:rPr lang="en-US" cap="none" sz="1000" b="0" i="0" u="none" baseline="0"/>
            <a:t>
Prepared by Xiaoyin Zhang
</a:t>
          </a:r>
          <a:r>
            <a:rPr lang="en-US" cap="none" sz="1100" b="0" i="1" u="none" baseline="0">
              <a:solidFill>
                <a:srgbClr val="0000FF"/>
              </a:solidFill>
            </a:rPr>
            <a:t>Review Sessions for Problem Set #2:  Feb. 18, Thursday, 3:00p.m. - 4:00p.m., RmE51-395
Feb. 19, Friday, 10:00a.m. -11:00a.m., 11:00a.m. - 12:00p.m., Rm E51- 395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P323"/>
  <sheetViews>
    <sheetView tabSelected="1" workbookViewId="0" topLeftCell="A304">
      <selection activeCell="B306" sqref="B306"/>
    </sheetView>
  </sheetViews>
  <sheetFormatPr defaultColWidth="9.140625" defaultRowHeight="12.75"/>
  <cols>
    <col min="1" max="1" width="3.57421875" style="3" customWidth="1"/>
    <col min="2" max="2" width="10.28125" style="4" customWidth="1"/>
    <col min="3" max="3" width="10.421875" style="4" customWidth="1"/>
    <col min="4" max="4" width="12.140625" style="4" customWidth="1"/>
    <col min="5" max="5" width="13.00390625" style="4" customWidth="1"/>
    <col min="6" max="6" width="13.421875" style="4" customWidth="1"/>
    <col min="7" max="7" width="12.57421875" style="4" customWidth="1"/>
    <col min="8" max="8" width="9.00390625" style="4" bestFit="1" customWidth="1"/>
    <col min="9" max="9" width="11.00390625" style="4" customWidth="1"/>
    <col min="10" max="10" width="6.140625" style="4" bestFit="1" customWidth="1"/>
    <col min="11" max="16384" width="9.140625" style="4" customWidth="1"/>
  </cols>
  <sheetData>
    <row r="7" spans="1:10" ht="13.5">
      <c r="A7" s="137"/>
      <c r="B7" s="19"/>
      <c r="C7" s="19"/>
      <c r="D7" s="19"/>
      <c r="E7" s="19"/>
      <c r="F7" s="19"/>
      <c r="G7" s="19"/>
      <c r="H7" s="19"/>
      <c r="I7" s="19"/>
      <c r="J7" s="19"/>
    </row>
    <row r="8" s="30" customFormat="1" ht="13.5">
      <c r="A8" s="32"/>
    </row>
    <row r="9" spans="1:2" ht="13.5">
      <c r="A9" s="3">
        <v>1</v>
      </c>
      <c r="B9" s="4" t="s">
        <v>21</v>
      </c>
    </row>
    <row r="11" spans="2:7" ht="15">
      <c r="B11" s="5"/>
      <c r="C11" s="6" t="s">
        <v>15</v>
      </c>
      <c r="D11" s="7"/>
      <c r="E11" s="7"/>
      <c r="F11" s="7"/>
      <c r="G11" s="8"/>
    </row>
    <row r="12" spans="2:7" ht="16.5">
      <c r="B12" s="9" t="s">
        <v>20</v>
      </c>
      <c r="C12" s="1" t="s">
        <v>16</v>
      </c>
      <c r="D12" s="11" t="s">
        <v>18</v>
      </c>
      <c r="E12" s="12"/>
      <c r="F12" s="11" t="s">
        <v>19</v>
      </c>
      <c r="G12" s="13"/>
    </row>
    <row r="13" spans="2:7" ht="16.5" customHeight="1">
      <c r="B13" s="14"/>
      <c r="C13" s="10" t="s">
        <v>17</v>
      </c>
      <c r="D13" s="10" t="s">
        <v>51</v>
      </c>
      <c r="E13" s="12"/>
      <c r="F13" s="10" t="s">
        <v>52</v>
      </c>
      <c r="G13" s="13"/>
    </row>
    <row r="14" spans="2:7" ht="15">
      <c r="B14" s="15"/>
      <c r="C14" s="16"/>
      <c r="D14" s="16"/>
      <c r="E14" s="16"/>
      <c r="F14" s="16"/>
      <c r="G14" s="17"/>
    </row>
    <row r="16" spans="2:3" ht="13.5">
      <c r="B16" s="18" t="s">
        <v>3</v>
      </c>
      <c r="C16" s="19">
        <v>1000</v>
      </c>
    </row>
    <row r="17" spans="2:5" ht="15">
      <c r="B17" s="52" t="s">
        <v>31</v>
      </c>
      <c r="C17" s="20" t="s">
        <v>12</v>
      </c>
      <c r="D17" s="20"/>
      <c r="E17" s="78" t="s">
        <v>13</v>
      </c>
    </row>
    <row r="18" spans="2:5" ht="13.5">
      <c r="B18" s="54">
        <v>1</v>
      </c>
      <c r="C18" s="30">
        <v>30</v>
      </c>
      <c r="D18" s="30"/>
      <c r="E18" s="63">
        <f>C18/(1+$D$23/2)^B18</f>
        <v>29.126211280617028</v>
      </c>
    </row>
    <row r="19" spans="2:5" ht="13.5">
      <c r="B19" s="54">
        <f>B18+1</f>
        <v>2</v>
      </c>
      <c r="C19" s="30">
        <v>30</v>
      </c>
      <c r="D19" s="30"/>
      <c r="E19" s="63">
        <f>C19/(1+$D$23/2)^B19</f>
        <v>28.27787278543809</v>
      </c>
    </row>
    <row r="20" spans="2:5" ht="13.5">
      <c r="B20" s="54">
        <f>B19+1</f>
        <v>3</v>
      </c>
      <c r="C20" s="30">
        <v>30</v>
      </c>
      <c r="D20" s="30"/>
      <c r="E20" s="63">
        <f>C20/(1+$D$23/2)^B20</f>
        <v>27.454243243836007</v>
      </c>
    </row>
    <row r="21" spans="2:5" ht="13.5">
      <c r="B21" s="54">
        <f>B20+1</f>
        <v>4</v>
      </c>
      <c r="C21" s="30">
        <v>1030</v>
      </c>
      <c r="D21" s="30"/>
      <c r="E21" s="72">
        <f>C21/(1+$D$23/2)^B21</f>
        <v>915.1413688305587</v>
      </c>
    </row>
    <row r="22" spans="2:5" ht="13.5">
      <c r="B22" s="79"/>
      <c r="C22" s="19"/>
      <c r="D22" s="19" t="s">
        <v>14</v>
      </c>
      <c r="E22" s="80">
        <f>SUM(E18:E21)</f>
        <v>999.9996961404498</v>
      </c>
    </row>
    <row r="23" spans="2:6" ht="15">
      <c r="B23" s="3"/>
      <c r="C23" s="76" t="s">
        <v>2</v>
      </c>
      <c r="D23" s="77">
        <v>0.06000016349290594</v>
      </c>
      <c r="E23" s="22"/>
      <c r="F23" s="22"/>
    </row>
    <row r="24" ht="13.5">
      <c r="C24" s="23"/>
    </row>
    <row r="25" ht="13.5"/>
    <row r="26" ht="13.5"/>
    <row r="27" ht="13.5"/>
    <row r="28" ht="13.5"/>
    <row r="30" spans="1:3" ht="13.5">
      <c r="A30" s="24" t="s">
        <v>0</v>
      </c>
      <c r="B30" s="4" t="s">
        <v>29</v>
      </c>
      <c r="C30" s="4" t="s">
        <v>4</v>
      </c>
    </row>
    <row r="31" spans="1:3" s="47" customFormat="1" ht="15">
      <c r="A31" s="81"/>
      <c r="B31" s="82" t="s">
        <v>33</v>
      </c>
      <c r="C31" s="47" t="s">
        <v>178</v>
      </c>
    </row>
    <row r="32" spans="1:7" ht="15.75">
      <c r="A32" s="24"/>
      <c r="B32" s="24" t="s">
        <v>1</v>
      </c>
      <c r="C32" s="21">
        <f>20</f>
        <v>20</v>
      </c>
      <c r="D32" s="150" t="s">
        <v>179</v>
      </c>
      <c r="E32" s="150"/>
      <c r="F32" s="150"/>
      <c r="G32" s="4" t="s">
        <v>180</v>
      </c>
    </row>
    <row r="33" spans="1:5" ht="13.5">
      <c r="A33" s="24"/>
      <c r="B33" s="24" t="s">
        <v>1</v>
      </c>
      <c r="C33" s="25">
        <f>C32*(1/0.03-1/(0.03*(1.03^20)))</f>
        <v>297.5494972091101</v>
      </c>
      <c r="D33" s="21" t="s">
        <v>5</v>
      </c>
      <c r="E33" s="26">
        <f>1000/(1.03^20)</f>
        <v>553.675754186335</v>
      </c>
    </row>
    <row r="34" spans="1:3" ht="15">
      <c r="A34" s="24"/>
      <c r="B34" s="24" t="s">
        <v>1</v>
      </c>
      <c r="C34" s="27">
        <f>C33+E33</f>
        <v>851.2252513954451</v>
      </c>
    </row>
    <row r="35" ht="13.5">
      <c r="A35" s="24"/>
    </row>
    <row r="36" spans="1:3" ht="13.5">
      <c r="A36" s="24" t="s">
        <v>6</v>
      </c>
      <c r="B36" s="4" t="s">
        <v>30</v>
      </c>
      <c r="C36" s="4" t="s">
        <v>7</v>
      </c>
    </row>
    <row r="37" spans="1:3" s="47" customFormat="1" ht="15">
      <c r="A37" s="83"/>
      <c r="B37" s="47" t="s">
        <v>32</v>
      </c>
      <c r="C37" s="47" t="s">
        <v>181</v>
      </c>
    </row>
    <row r="38" spans="2:7" ht="15.75">
      <c r="B38" s="24" t="s">
        <v>1</v>
      </c>
      <c r="C38" s="21">
        <v>45</v>
      </c>
      <c r="D38" s="150" t="s">
        <v>179</v>
      </c>
      <c r="E38" s="150"/>
      <c r="F38" s="150"/>
      <c r="G38" s="4" t="s">
        <v>180</v>
      </c>
    </row>
    <row r="39" spans="2:5" ht="13.5">
      <c r="B39" s="24" t="s">
        <v>1</v>
      </c>
      <c r="C39" s="28">
        <f>C38*(1/0.03-1/(0.03*(1.03^20)))</f>
        <v>669.4863687204977</v>
      </c>
      <c r="D39" s="21" t="s">
        <v>5</v>
      </c>
      <c r="E39" s="26">
        <f>1000/(1.03^20)</f>
        <v>553.675754186335</v>
      </c>
    </row>
    <row r="40" spans="2:3" ht="15">
      <c r="B40" s="24" t="s">
        <v>1</v>
      </c>
      <c r="C40" s="27">
        <f>C39+E39</f>
        <v>1223.1621229068328</v>
      </c>
    </row>
    <row r="42" ht="13.5">
      <c r="A42" s="3">
        <v>2</v>
      </c>
    </row>
    <row r="45" spans="1:2" ht="13.5">
      <c r="A45" s="24" t="s">
        <v>0</v>
      </c>
      <c r="B45" s="4" t="s">
        <v>218</v>
      </c>
    </row>
    <row r="46" spans="1:9" s="47" customFormat="1" ht="15">
      <c r="A46" s="81"/>
      <c r="B46" s="47" t="s">
        <v>219</v>
      </c>
      <c r="E46" s="83"/>
      <c r="F46" s="81"/>
      <c r="G46" s="83"/>
      <c r="H46" s="81"/>
      <c r="I46" s="84"/>
    </row>
    <row r="47" spans="1:9" ht="13.5">
      <c r="A47" s="24"/>
      <c r="B47" s="30"/>
      <c r="C47" s="31">
        <v>4</v>
      </c>
      <c r="D47" s="30"/>
      <c r="E47" s="30"/>
      <c r="F47" s="30"/>
      <c r="G47" s="32"/>
      <c r="H47" s="24"/>
      <c r="I47" s="33"/>
    </row>
    <row r="48" spans="1:9" ht="15.75">
      <c r="A48" s="24"/>
      <c r="B48" s="34" t="s">
        <v>20</v>
      </c>
      <c r="C48" s="1" t="s">
        <v>16</v>
      </c>
      <c r="D48" s="18" t="s">
        <v>220</v>
      </c>
      <c r="E48" s="35"/>
      <c r="F48" s="18">
        <v>100</v>
      </c>
      <c r="G48" s="32"/>
      <c r="H48" s="24"/>
      <c r="I48" s="33"/>
    </row>
    <row r="49" spans="1:7" ht="15.75">
      <c r="A49" s="24"/>
      <c r="B49" s="30"/>
      <c r="C49" s="31" t="s">
        <v>17</v>
      </c>
      <c r="D49" s="36" t="s">
        <v>221</v>
      </c>
      <c r="E49" s="35"/>
      <c r="F49" s="36" t="s">
        <v>222</v>
      </c>
      <c r="G49" s="30"/>
    </row>
    <row r="50" spans="1:5" ht="13.5">
      <c r="A50" s="24"/>
      <c r="B50" s="24" t="s">
        <v>1</v>
      </c>
      <c r="C50" s="28">
        <f>11.75/2*(1/0.02405-1/(0.02405*(1.02405)^4))</f>
        <v>22.152270658872183</v>
      </c>
      <c r="D50" s="21" t="s">
        <v>5</v>
      </c>
      <c r="E50" s="26">
        <f>100/(1.02405)^4</f>
        <v>90.93170877709146</v>
      </c>
    </row>
    <row r="51" spans="1:6" ht="15">
      <c r="A51" s="24"/>
      <c r="B51" s="24" t="s">
        <v>1</v>
      </c>
      <c r="C51" s="37">
        <f>C50+E50</f>
        <v>113.08397943596364</v>
      </c>
      <c r="D51" s="21" t="s">
        <v>223</v>
      </c>
      <c r="E51" s="119" t="s">
        <v>224</v>
      </c>
      <c r="F51" s="120">
        <f>113+7/32</f>
        <v>113.21875</v>
      </c>
    </row>
    <row r="52" ht="13.5">
      <c r="A52" s="24"/>
    </row>
    <row r="53" spans="1:2" ht="13.5">
      <c r="A53" s="24" t="s">
        <v>6</v>
      </c>
      <c r="B53" s="4" t="s">
        <v>225</v>
      </c>
    </row>
    <row r="54" spans="1:9" s="47" customFormat="1" ht="15">
      <c r="A54" s="81"/>
      <c r="B54" s="47" t="s">
        <v>226</v>
      </c>
      <c r="E54" s="83"/>
      <c r="F54" s="81"/>
      <c r="G54" s="83"/>
      <c r="H54" s="81"/>
      <c r="I54" s="84"/>
    </row>
    <row r="55" spans="1:9" ht="13.5">
      <c r="A55" s="24"/>
      <c r="B55" s="30"/>
      <c r="C55" s="31">
        <v>14</v>
      </c>
      <c r="D55" s="30"/>
      <c r="E55" s="30"/>
      <c r="F55" s="30"/>
      <c r="G55" s="32"/>
      <c r="H55" s="24"/>
      <c r="I55" s="33"/>
    </row>
    <row r="56" spans="1:9" ht="15.75">
      <c r="A56" s="24"/>
      <c r="B56" s="34" t="s">
        <v>20</v>
      </c>
      <c r="C56" s="1" t="s">
        <v>16</v>
      </c>
      <c r="D56" s="18" t="s">
        <v>22</v>
      </c>
      <c r="E56" s="35"/>
      <c r="F56" s="18">
        <v>100</v>
      </c>
      <c r="G56" s="32"/>
      <c r="H56" s="24"/>
      <c r="I56" s="33"/>
    </row>
    <row r="57" spans="1:7" ht="15.75">
      <c r="A57" s="24"/>
      <c r="B57" s="30"/>
      <c r="C57" s="31" t="s">
        <v>17</v>
      </c>
      <c r="D57" s="36" t="s">
        <v>227</v>
      </c>
      <c r="E57" s="35"/>
      <c r="F57" s="36" t="s">
        <v>228</v>
      </c>
      <c r="G57" s="30"/>
    </row>
    <row r="58" spans="1:5" ht="13.5">
      <c r="A58" s="24"/>
      <c r="B58" s="24" t="s">
        <v>1</v>
      </c>
      <c r="C58" s="28">
        <f>4.6875*(1/0.0253-1/(0.0253*(1.0253)^14))</f>
        <v>54.68745128722556</v>
      </c>
      <c r="D58" s="21" t="s">
        <v>5</v>
      </c>
      <c r="E58" s="26">
        <f>100/(1.0253)^14</f>
        <v>70.48335962524146</v>
      </c>
    </row>
    <row r="59" spans="1:6" ht="15">
      <c r="A59" s="24"/>
      <c r="B59" s="24" t="s">
        <v>1</v>
      </c>
      <c r="C59" s="37">
        <f>C58+E58</f>
        <v>125.17081091246702</v>
      </c>
      <c r="D59" s="21" t="s">
        <v>223</v>
      </c>
      <c r="E59" s="119" t="s">
        <v>229</v>
      </c>
      <c r="F59" s="120">
        <f>125+7/32</f>
        <v>125.21875</v>
      </c>
    </row>
    <row r="60" ht="13.5">
      <c r="A60" s="24"/>
    </row>
    <row r="61" spans="1:2" ht="13.5">
      <c r="A61" s="24" t="s">
        <v>8</v>
      </c>
      <c r="B61" s="4" t="s">
        <v>230</v>
      </c>
    </row>
    <row r="62" spans="1:2" s="47" customFormat="1" ht="15">
      <c r="A62" s="81"/>
      <c r="B62" s="47" t="s">
        <v>231</v>
      </c>
    </row>
    <row r="63" spans="1:9" ht="13.5">
      <c r="A63" s="24"/>
      <c r="B63" s="30"/>
      <c r="C63" s="31">
        <v>40</v>
      </c>
      <c r="D63" s="30"/>
      <c r="E63" s="30"/>
      <c r="F63" s="30"/>
      <c r="G63" s="32"/>
      <c r="H63" s="24"/>
      <c r="I63" s="33"/>
    </row>
    <row r="64" spans="1:9" ht="15.75">
      <c r="A64" s="24"/>
      <c r="B64" s="34" t="s">
        <v>20</v>
      </c>
      <c r="C64" s="1" t="s">
        <v>16</v>
      </c>
      <c r="D64" s="18" t="s">
        <v>23</v>
      </c>
      <c r="E64" s="35"/>
      <c r="F64" s="18">
        <v>100</v>
      </c>
      <c r="G64" s="32"/>
      <c r="H64" s="24"/>
      <c r="I64" s="33"/>
    </row>
    <row r="65" spans="1:7" ht="15.75">
      <c r="A65" s="24"/>
      <c r="B65" s="30"/>
      <c r="C65" s="31" t="s">
        <v>17</v>
      </c>
      <c r="D65" s="36" t="s">
        <v>232</v>
      </c>
      <c r="E65" s="35"/>
      <c r="F65" s="36" t="s">
        <v>233</v>
      </c>
      <c r="G65" s="30"/>
    </row>
    <row r="66" spans="1:5" ht="13.5">
      <c r="A66" s="24"/>
      <c r="B66" s="24" t="s">
        <v>1</v>
      </c>
      <c r="C66" s="28">
        <f>4.4375*(1/0.02805-1/(0.02805*(1.02805)^40))</f>
        <v>105.88346609570493</v>
      </c>
      <c r="D66" s="21" t="s">
        <v>5</v>
      </c>
      <c r="E66" s="28">
        <f>100/(1.02805)^40</f>
        <v>33.069718896123426</v>
      </c>
    </row>
    <row r="67" spans="1:6" ht="15">
      <c r="A67" s="24"/>
      <c r="B67" s="24" t="s">
        <v>1</v>
      </c>
      <c r="C67" s="37">
        <f>C66+E66</f>
        <v>138.95318499182835</v>
      </c>
      <c r="D67" s="21" t="s">
        <v>223</v>
      </c>
      <c r="E67" s="121" t="s">
        <v>234</v>
      </c>
      <c r="F67" s="120">
        <f>138+31/32</f>
        <v>138.96875</v>
      </c>
    </row>
    <row r="68" spans="1:3" ht="15">
      <c r="A68" s="24"/>
      <c r="B68" s="24"/>
      <c r="C68" s="38"/>
    </row>
    <row r="69" spans="1:2" ht="13.5">
      <c r="A69" s="24" t="s">
        <v>9</v>
      </c>
      <c r="B69" s="4" t="s">
        <v>235</v>
      </c>
    </row>
    <row r="70" spans="1:2" ht="15">
      <c r="A70" s="24"/>
      <c r="B70" s="47" t="s">
        <v>24</v>
      </c>
    </row>
    <row r="71" spans="1:8" ht="16.5">
      <c r="A71" s="24"/>
      <c r="B71" s="24" t="s">
        <v>20</v>
      </c>
      <c r="C71" s="4" t="s">
        <v>236</v>
      </c>
      <c r="E71" s="27">
        <f>100/(1+4.92%/2)^10</f>
        <v>78.42535343730881</v>
      </c>
      <c r="F71" s="21" t="s">
        <v>223</v>
      </c>
      <c r="G71" s="119" t="s">
        <v>237</v>
      </c>
      <c r="H71" s="120">
        <f>78+11/32</f>
        <v>78.34375</v>
      </c>
    </row>
    <row r="72" ht="13.5">
      <c r="A72" s="24"/>
    </row>
    <row r="73" spans="1:2" ht="13.5">
      <c r="A73" s="24" t="s">
        <v>10</v>
      </c>
      <c r="B73" s="4" t="s">
        <v>238</v>
      </c>
    </row>
    <row r="74" ht="15">
      <c r="B74" s="47" t="s">
        <v>24</v>
      </c>
    </row>
    <row r="75" spans="2:8" ht="16.5">
      <c r="B75" s="24" t="s">
        <v>20</v>
      </c>
      <c r="C75" s="4" t="s">
        <v>256</v>
      </c>
      <c r="E75" s="48">
        <f>100/(1+5.54%/2)^56</f>
        <v>21.651302832316144</v>
      </c>
      <c r="F75" s="21" t="s">
        <v>223</v>
      </c>
      <c r="G75" s="119" t="s">
        <v>239</v>
      </c>
      <c r="H75" s="120">
        <f>21+20/32</f>
        <v>21.625</v>
      </c>
    </row>
    <row r="77" ht="13.5">
      <c r="A77" s="3" t="s">
        <v>11</v>
      </c>
    </row>
    <row r="78" ht="17.25" customHeight="1">
      <c r="B78" s="4" t="s">
        <v>185</v>
      </c>
    </row>
    <row r="79" spans="2:8" ht="15">
      <c r="B79" s="4" t="s">
        <v>25</v>
      </c>
      <c r="C79" s="4" t="s">
        <v>188</v>
      </c>
      <c r="G79" s="4" t="s">
        <v>53</v>
      </c>
      <c r="H79" s="49">
        <f>103/97.8-1</f>
        <v>0.053169734151329306</v>
      </c>
    </row>
    <row r="80" spans="2:8" ht="16.5">
      <c r="B80" s="4" t="s">
        <v>26</v>
      </c>
      <c r="C80" s="4" t="s">
        <v>189</v>
      </c>
      <c r="G80" s="4" t="s">
        <v>54</v>
      </c>
      <c r="H80" s="49">
        <f>(106/(97.92-6/(1+H79)))^(1/2)-1</f>
        <v>0.07209560475808163</v>
      </c>
    </row>
    <row r="81" spans="2:8" ht="16.5">
      <c r="B81" s="4" t="s">
        <v>27</v>
      </c>
      <c r="C81" s="4" t="s">
        <v>190</v>
      </c>
      <c r="G81" s="4" t="s">
        <v>55</v>
      </c>
      <c r="H81" s="49">
        <f>(112/(111.44-12/(1+H79)-12/(1+H80)^2))^(1/3)-1</f>
        <v>0.07719532262458184</v>
      </c>
    </row>
    <row r="82" ht="8.25" customHeight="1">
      <c r="H82" s="116"/>
    </row>
    <row r="83" spans="2:8" ht="15">
      <c r="B83" s="4" t="s">
        <v>194</v>
      </c>
      <c r="H83" s="116"/>
    </row>
    <row r="84" spans="2:8" ht="15">
      <c r="B84" s="147" t="s">
        <v>186</v>
      </c>
      <c r="C84" s="18">
        <v>100</v>
      </c>
      <c r="E84" s="24" t="s">
        <v>191</v>
      </c>
      <c r="F84" s="28">
        <f>100/(1+H79)</f>
        <v>94.9514563106796</v>
      </c>
      <c r="H84" s="116"/>
    </row>
    <row r="85" spans="2:8" ht="16.5">
      <c r="B85" s="147"/>
      <c r="C85" s="21" t="s">
        <v>187</v>
      </c>
      <c r="E85" s="24" t="s">
        <v>192</v>
      </c>
      <c r="F85" s="28">
        <f>100/(1+H80)^2</f>
        <v>87.00274775599928</v>
      </c>
      <c r="H85" s="116"/>
    </row>
    <row r="86" spans="5:6" ht="15">
      <c r="E86" s="24" t="s">
        <v>193</v>
      </c>
      <c r="F86" s="28">
        <f>100/(1+H81)^3</f>
        <v>80.00490670714154</v>
      </c>
    </row>
    <row r="88" ht="13.5">
      <c r="A88" s="3">
        <v>4</v>
      </c>
    </row>
    <row r="90" ht="6.75" customHeight="1"/>
    <row r="91" spans="2:6" ht="15">
      <c r="B91" s="4" t="s">
        <v>53</v>
      </c>
      <c r="C91" s="29">
        <v>0.06</v>
      </c>
      <c r="E91" s="4" t="s">
        <v>55</v>
      </c>
      <c r="F91" s="29">
        <v>0.065</v>
      </c>
    </row>
    <row r="92" spans="2:6" ht="15">
      <c r="B92" s="4" t="s">
        <v>54</v>
      </c>
      <c r="C92" s="29">
        <v>0.062</v>
      </c>
      <c r="E92" s="4" t="s">
        <v>56</v>
      </c>
      <c r="F92" s="29">
        <v>0.067</v>
      </c>
    </row>
    <row r="93" spans="5:6" ht="15">
      <c r="E93" s="4" t="s">
        <v>57</v>
      </c>
      <c r="F93" s="29">
        <v>0.07</v>
      </c>
    </row>
    <row r="94" ht="6.75" customHeight="1"/>
    <row r="95" spans="2:6" ht="16.5">
      <c r="B95" s="39" t="s">
        <v>58</v>
      </c>
      <c r="C95" s="40"/>
      <c r="E95" s="39" t="s">
        <v>59</v>
      </c>
      <c r="F95" s="50">
        <f>C91</f>
        <v>0.06</v>
      </c>
    </row>
    <row r="96" spans="2:10" ht="17.25">
      <c r="B96" s="41" t="s">
        <v>60</v>
      </c>
      <c r="C96" s="41" t="s">
        <v>61</v>
      </c>
      <c r="E96" s="39" t="s">
        <v>62</v>
      </c>
      <c r="F96" s="4" t="s">
        <v>63</v>
      </c>
      <c r="I96" s="42" t="s">
        <v>1</v>
      </c>
      <c r="J96" s="50">
        <f>(1+0.062)^2/(1+0.06)-1</f>
        <v>0.06400377358490572</v>
      </c>
    </row>
    <row r="97" spans="2:10" ht="17.25">
      <c r="B97" s="41" t="s">
        <v>64</v>
      </c>
      <c r="C97" s="41" t="s">
        <v>65</v>
      </c>
      <c r="E97" s="39" t="s">
        <v>66</v>
      </c>
      <c r="F97" s="4" t="s">
        <v>67</v>
      </c>
      <c r="I97" s="24" t="s">
        <v>1</v>
      </c>
      <c r="J97" s="50">
        <f>(1+F91)^3/((1+C91)*(1+J96))-1</f>
        <v>0.0710254476682941</v>
      </c>
    </row>
    <row r="98" spans="2:10" ht="17.25">
      <c r="B98" s="41" t="s">
        <v>68</v>
      </c>
      <c r="C98" s="41" t="s">
        <v>69</v>
      </c>
      <c r="E98" s="39" t="s">
        <v>70</v>
      </c>
      <c r="F98" s="4" t="s">
        <v>71</v>
      </c>
      <c r="J98" s="51"/>
    </row>
    <row r="99" spans="2:10" ht="15">
      <c r="B99" s="41"/>
      <c r="C99" s="41"/>
      <c r="E99" s="39"/>
      <c r="I99" s="24" t="s">
        <v>1</v>
      </c>
      <c r="J99" s="50">
        <f>(1+0.067)^4/((1+0.06)*(1+0.064)*(1+0.071))-1</f>
        <v>0.07305186483812287</v>
      </c>
    </row>
    <row r="100" spans="2:10" ht="17.25">
      <c r="B100" s="41" t="s">
        <v>72</v>
      </c>
      <c r="C100" s="41" t="s">
        <v>73</v>
      </c>
      <c r="E100" s="39" t="s">
        <v>74</v>
      </c>
      <c r="F100" s="4" t="s">
        <v>75</v>
      </c>
      <c r="J100" s="3"/>
    </row>
    <row r="101" spans="9:10" ht="15">
      <c r="I101" s="24" t="s">
        <v>1</v>
      </c>
      <c r="J101" s="50">
        <f>(1+0.07)^5/((1+0.06)*(1+0.064)*(1+0.071)*(1+0.0731))-1</f>
        <v>0.08203604795502728</v>
      </c>
    </row>
    <row r="102" ht="13.5">
      <c r="B102" s="4" t="s">
        <v>28</v>
      </c>
    </row>
    <row r="104" spans="1:2" ht="13.5">
      <c r="A104" s="3">
        <v>5</v>
      </c>
      <c r="B104" s="4" t="s">
        <v>44</v>
      </c>
    </row>
    <row r="105" ht="13.5">
      <c r="B105" s="4" t="s">
        <v>45</v>
      </c>
    </row>
    <row r="106" ht="13.5">
      <c r="B106" s="4" t="s">
        <v>34</v>
      </c>
    </row>
    <row r="107" ht="7.5" customHeight="1"/>
    <row r="108" spans="4:9" s="21" customFormat="1" ht="13.5">
      <c r="D108" s="85">
        <v>0</v>
      </c>
      <c r="E108" s="86">
        <v>1</v>
      </c>
      <c r="F108" s="86">
        <v>2</v>
      </c>
      <c r="G108" s="86">
        <v>3</v>
      </c>
      <c r="H108" s="86">
        <v>4</v>
      </c>
      <c r="I108" s="87">
        <v>5</v>
      </c>
    </row>
    <row r="109" spans="1:9" ht="13.5">
      <c r="A109" s="24" t="s">
        <v>38</v>
      </c>
      <c r="B109" s="4" t="s">
        <v>35</v>
      </c>
      <c r="D109" s="61"/>
      <c r="E109" s="30"/>
      <c r="F109" s="30"/>
      <c r="G109" s="30"/>
      <c r="H109" s="55">
        <v>100</v>
      </c>
      <c r="I109" s="56"/>
    </row>
    <row r="110" spans="1:9" ht="13.5">
      <c r="A110" s="24" t="s">
        <v>39</v>
      </c>
      <c r="B110" s="4" t="s">
        <v>36</v>
      </c>
      <c r="D110" s="61"/>
      <c r="E110" s="30"/>
      <c r="F110" s="30"/>
      <c r="G110" s="30"/>
      <c r="H110" s="55"/>
      <c r="I110" s="56">
        <v>-107</v>
      </c>
    </row>
    <row r="111" spans="1:9" ht="13.5">
      <c r="A111" s="24" t="s">
        <v>40</v>
      </c>
      <c r="B111" s="4" t="s">
        <v>41</v>
      </c>
      <c r="D111" s="88">
        <f>-100/(1+F92)^4</f>
        <v>-77.15113549437625</v>
      </c>
      <c r="E111" s="30"/>
      <c r="F111" s="30"/>
      <c r="G111" s="30"/>
      <c r="H111" s="55"/>
      <c r="I111" s="56">
        <f>-D111*(1+F93)^5</f>
        <v>108.20845861310762</v>
      </c>
    </row>
    <row r="112" spans="1:9" ht="13.5">
      <c r="A112" s="24" t="s">
        <v>9</v>
      </c>
      <c r="B112" s="4" t="s">
        <v>42</v>
      </c>
      <c r="D112" s="89">
        <f>-D111</f>
        <v>77.15113549437625</v>
      </c>
      <c r="E112" s="19"/>
      <c r="F112" s="19"/>
      <c r="G112" s="19"/>
      <c r="H112" s="44">
        <f>-D112*(1+F92)^4</f>
        <v>-100</v>
      </c>
      <c r="I112" s="57"/>
    </row>
    <row r="113" spans="2:9" ht="13.5">
      <c r="B113" s="3" t="s">
        <v>37</v>
      </c>
      <c r="D113" s="90">
        <v>0</v>
      </c>
      <c r="E113" s="19"/>
      <c r="F113" s="19"/>
      <c r="G113" s="19"/>
      <c r="H113" s="43">
        <f>H109+H112</f>
        <v>0</v>
      </c>
      <c r="I113" s="91">
        <f>I110+I111</f>
        <v>1.2084586131076236</v>
      </c>
    </row>
    <row r="114" ht="6" customHeight="1"/>
    <row r="115" ht="13.5">
      <c r="B115" s="4" t="s">
        <v>43</v>
      </c>
    </row>
    <row r="117" spans="1:2" ht="13.5">
      <c r="A117" s="3">
        <v>6</v>
      </c>
      <c r="B117" s="4" t="s">
        <v>46</v>
      </c>
    </row>
    <row r="118" ht="12" customHeight="1">
      <c r="D118" s="46">
        <v>5</v>
      </c>
    </row>
    <row r="119" spans="2:9" ht="15.75">
      <c r="B119" s="151" t="s">
        <v>25</v>
      </c>
      <c r="C119" s="151" t="s">
        <v>76</v>
      </c>
      <c r="D119" s="2" t="s">
        <v>16</v>
      </c>
      <c r="E119" s="18">
        <v>150</v>
      </c>
      <c r="G119" s="18">
        <v>1000</v>
      </c>
      <c r="H119" s="151" t="s">
        <v>1</v>
      </c>
      <c r="I119" s="155">
        <v>1334.345</v>
      </c>
    </row>
    <row r="120" spans="2:9" ht="16.5">
      <c r="B120" s="152"/>
      <c r="C120" s="152"/>
      <c r="D120" s="46" t="s">
        <v>47</v>
      </c>
      <c r="E120" s="21" t="s">
        <v>77</v>
      </c>
      <c r="G120" s="21" t="s">
        <v>78</v>
      </c>
      <c r="H120" s="152"/>
      <c r="I120" s="156"/>
    </row>
    <row r="121" ht="6" customHeight="1"/>
    <row r="122" ht="13.5">
      <c r="D122" s="46">
        <v>5</v>
      </c>
    </row>
    <row r="123" spans="2:9" ht="15.75">
      <c r="B123" s="151" t="s">
        <v>26</v>
      </c>
      <c r="C123" s="151" t="s">
        <v>76</v>
      </c>
      <c r="D123" s="2" t="s">
        <v>16</v>
      </c>
      <c r="E123" s="18">
        <v>40</v>
      </c>
      <c r="G123" s="18">
        <v>1000</v>
      </c>
      <c r="H123" s="151" t="s">
        <v>1</v>
      </c>
      <c r="I123" s="157">
        <v>878.682</v>
      </c>
    </row>
    <row r="124" spans="2:9" ht="16.5">
      <c r="B124" s="152"/>
      <c r="C124" s="152"/>
      <c r="D124" s="46" t="s">
        <v>47</v>
      </c>
      <c r="E124" s="21" t="s">
        <v>77</v>
      </c>
      <c r="G124" s="21" t="s">
        <v>78</v>
      </c>
      <c r="H124" s="152"/>
      <c r="I124" s="158"/>
    </row>
    <row r="125" ht="6.75" customHeight="1"/>
    <row r="126" ht="13.5">
      <c r="B126" s="4" t="s">
        <v>48</v>
      </c>
    </row>
    <row r="127" ht="13.5">
      <c r="D127" s="46">
        <v>5</v>
      </c>
    </row>
    <row r="128" spans="3:9" ht="15.75">
      <c r="C128" s="151" t="s">
        <v>49</v>
      </c>
      <c r="D128" s="2" t="s">
        <v>16</v>
      </c>
      <c r="E128" s="18">
        <v>150</v>
      </c>
      <c r="G128" s="18">
        <v>1000</v>
      </c>
      <c r="H128" s="165" t="s">
        <v>79</v>
      </c>
      <c r="I128" s="159">
        <v>0.0687</v>
      </c>
    </row>
    <row r="129" spans="3:9" ht="16.5">
      <c r="C129" s="152"/>
      <c r="D129" s="46" t="s">
        <v>47</v>
      </c>
      <c r="E129" s="21" t="s">
        <v>80</v>
      </c>
      <c r="G129" s="21" t="s">
        <v>81</v>
      </c>
      <c r="H129" s="165"/>
      <c r="I129" s="160">
        <v>0.0687</v>
      </c>
    </row>
    <row r="130" ht="6.75" customHeight="1"/>
    <row r="131" ht="13.5">
      <c r="B131" s="4" t="s">
        <v>50</v>
      </c>
    </row>
    <row r="132" ht="13.5">
      <c r="D132" s="46">
        <v>5</v>
      </c>
    </row>
    <row r="133" spans="3:9" ht="15.75">
      <c r="C133" s="151">
        <v>878.68</v>
      </c>
      <c r="D133" s="2" t="s">
        <v>16</v>
      </c>
      <c r="E133" s="18">
        <v>40</v>
      </c>
      <c r="G133" s="18">
        <v>1000</v>
      </c>
      <c r="H133" s="165" t="s">
        <v>82</v>
      </c>
      <c r="I133" s="159">
        <v>0.0696</v>
      </c>
    </row>
    <row r="134" spans="3:9" ht="16.5">
      <c r="C134" s="152"/>
      <c r="D134" s="46" t="s">
        <v>47</v>
      </c>
      <c r="E134" s="21" t="s">
        <v>83</v>
      </c>
      <c r="G134" s="21" t="s">
        <v>84</v>
      </c>
      <c r="H134" s="165"/>
      <c r="I134" s="160">
        <v>0.0687</v>
      </c>
    </row>
    <row r="135" ht="5.25" customHeight="1"/>
    <row r="145" spans="1:2" ht="13.5">
      <c r="A145" s="3">
        <v>7</v>
      </c>
      <c r="B145" s="4" t="s">
        <v>89</v>
      </c>
    </row>
    <row r="146" ht="13.5">
      <c r="B146" s="4" t="s">
        <v>92</v>
      </c>
    </row>
    <row r="147" ht="16.5">
      <c r="E147" s="4" t="s">
        <v>93</v>
      </c>
    </row>
    <row r="148" ht="13.5">
      <c r="B148" s="4" t="s">
        <v>94</v>
      </c>
    </row>
    <row r="149" ht="16.5">
      <c r="E149" s="4" t="s">
        <v>95</v>
      </c>
    </row>
    <row r="151" spans="2:9" ht="13.5">
      <c r="B151" s="125" t="s">
        <v>245</v>
      </c>
      <c r="C151" s="66"/>
      <c r="D151" s="66"/>
      <c r="E151" s="66"/>
      <c r="F151" s="66"/>
      <c r="G151" s="66"/>
      <c r="H151" s="66"/>
      <c r="I151" s="67"/>
    </row>
    <row r="152" spans="2:9" ht="15">
      <c r="B152" s="73" t="s">
        <v>86</v>
      </c>
      <c r="C152" s="53" t="s">
        <v>3</v>
      </c>
      <c r="D152" s="53" t="s">
        <v>88</v>
      </c>
      <c r="E152" s="11" t="s">
        <v>87</v>
      </c>
      <c r="F152" s="53" t="s">
        <v>90</v>
      </c>
      <c r="G152" s="11" t="s">
        <v>91</v>
      </c>
      <c r="H152" s="161" t="s">
        <v>90</v>
      </c>
      <c r="I152" s="162"/>
    </row>
    <row r="153" spans="2:9" ht="13.5" customHeight="1">
      <c r="B153" s="74" t="s">
        <v>85</v>
      </c>
      <c r="C153" s="122">
        <f>97+20/32</f>
        <v>97.625</v>
      </c>
      <c r="D153" s="68">
        <v>1</v>
      </c>
      <c r="E153" s="62">
        <f aca="true" t="shared" si="0" ref="E153:E158">(100/C153)^(1/D153)-1</f>
        <v>0.02432778489116516</v>
      </c>
      <c r="F153" s="70">
        <f aca="true" t="shared" si="1" ref="F153:F158">E153*2</f>
        <v>0.04865556978233032</v>
      </c>
      <c r="G153" s="30"/>
      <c r="H153" s="30"/>
      <c r="I153" s="63"/>
    </row>
    <row r="154" spans="2:9" ht="13.5" customHeight="1">
      <c r="B154" s="74" t="s">
        <v>240</v>
      </c>
      <c r="C154" s="122">
        <f>95+10/32</f>
        <v>95.3125</v>
      </c>
      <c r="D154" s="68">
        <v>2</v>
      </c>
      <c r="E154" s="62">
        <f t="shared" si="0"/>
        <v>0.0242950394631678</v>
      </c>
      <c r="F154" s="70">
        <f t="shared" si="1"/>
        <v>0.0485900789263356</v>
      </c>
      <c r="G154" s="62">
        <f>(1+E154)^D154/(1+E153)^D153-1</f>
        <v>0.02426229508196731</v>
      </c>
      <c r="H154" s="163">
        <f>G154*2</f>
        <v>0.04852459016393462</v>
      </c>
      <c r="I154" s="164"/>
    </row>
    <row r="155" spans="2:9" ht="13.5" customHeight="1">
      <c r="B155" s="74" t="s">
        <v>241</v>
      </c>
      <c r="C155" s="122">
        <f>93</f>
        <v>93</v>
      </c>
      <c r="D155" s="68">
        <v>3</v>
      </c>
      <c r="E155" s="62">
        <f t="shared" si="0"/>
        <v>0.024485188140280112</v>
      </c>
      <c r="F155" s="70">
        <f t="shared" si="1"/>
        <v>0.048970376280560224</v>
      </c>
      <c r="G155" s="62">
        <f>(1+E155)^D155/(1+E154)^D154-1</f>
        <v>0.02486559139784883</v>
      </c>
      <c r="H155" s="163">
        <f>G155*2</f>
        <v>0.04973118279569766</v>
      </c>
      <c r="I155" s="164"/>
    </row>
    <row r="156" spans="2:9" ht="13.5" customHeight="1">
      <c r="B156" s="74" t="s">
        <v>242</v>
      </c>
      <c r="C156" s="122">
        <f>90+27/32</f>
        <v>90.84375</v>
      </c>
      <c r="D156" s="68">
        <v>4</v>
      </c>
      <c r="E156" s="62">
        <f t="shared" si="0"/>
        <v>0.02429779222296724</v>
      </c>
      <c r="F156" s="70">
        <f t="shared" si="1"/>
        <v>0.04859558444593448</v>
      </c>
      <c r="G156" s="62">
        <f>(1+E156)^D156/(1+E155)^D155-1</f>
        <v>0.023735810113519662</v>
      </c>
      <c r="H156" s="163">
        <f>G156*2</f>
        <v>0.047471620227039324</v>
      </c>
      <c r="I156" s="164"/>
    </row>
    <row r="157" spans="2:9" ht="13.5" customHeight="1">
      <c r="B157" s="74" t="s">
        <v>243</v>
      </c>
      <c r="C157" s="122">
        <f>88+20/32</f>
        <v>88.625</v>
      </c>
      <c r="D157" s="68">
        <v>5</v>
      </c>
      <c r="E157" s="62">
        <f t="shared" si="0"/>
        <v>0.024445243506174386</v>
      </c>
      <c r="F157" s="70">
        <f t="shared" si="1"/>
        <v>0.04889048701234877</v>
      </c>
      <c r="G157" s="62">
        <f>(1+E157)^D157/(1+E156)^D156-1</f>
        <v>0.025035260930888592</v>
      </c>
      <c r="H157" s="163">
        <f>G157*2</f>
        <v>0.050070521861777184</v>
      </c>
      <c r="I157" s="164"/>
    </row>
    <row r="158" spans="2:9" ht="13.5" customHeight="1">
      <c r="B158" s="75" t="s">
        <v>244</v>
      </c>
      <c r="C158" s="123">
        <f>86+14/32</f>
        <v>86.4375</v>
      </c>
      <c r="D158" s="69">
        <v>6</v>
      </c>
      <c r="E158" s="65">
        <f t="shared" si="0"/>
        <v>0.02458886973251939</v>
      </c>
      <c r="F158" s="71">
        <f t="shared" si="1"/>
        <v>0.04917773946503878</v>
      </c>
      <c r="G158" s="65">
        <f>(1+E158)^D158/(1+E157)^D157-1</f>
        <v>0.025307302964569622</v>
      </c>
      <c r="H158" s="166">
        <f>G158*2</f>
        <v>0.050614605929139245</v>
      </c>
      <c r="I158" s="141"/>
    </row>
    <row r="159" spans="2:9" ht="13.5" customHeight="1">
      <c r="B159" s="30"/>
      <c r="C159" s="124"/>
      <c r="D159" s="36"/>
      <c r="E159" s="62"/>
      <c r="F159" s="62"/>
      <c r="G159" s="62"/>
      <c r="H159" s="115"/>
      <c r="I159" s="115"/>
    </row>
    <row r="160" spans="1:2" ht="13.5">
      <c r="A160" s="3">
        <v>8</v>
      </c>
      <c r="B160" s="4" t="s">
        <v>108</v>
      </c>
    </row>
    <row r="161" spans="2:7" ht="16.5">
      <c r="B161" s="58" t="s">
        <v>103</v>
      </c>
      <c r="C161" s="58" t="s">
        <v>3</v>
      </c>
      <c r="D161" s="20" t="s">
        <v>104</v>
      </c>
      <c r="E161" s="20" t="s">
        <v>105</v>
      </c>
      <c r="F161" s="20" t="s">
        <v>106</v>
      </c>
      <c r="G161" s="53" t="s">
        <v>107</v>
      </c>
    </row>
    <row r="162" spans="2:7" ht="13.5">
      <c r="B162" s="92" t="s">
        <v>96</v>
      </c>
      <c r="C162" s="93">
        <v>751.3</v>
      </c>
      <c r="D162" s="94">
        <v>0</v>
      </c>
      <c r="E162" s="94">
        <v>0</v>
      </c>
      <c r="F162" s="94">
        <v>1000</v>
      </c>
      <c r="G162" s="56">
        <v>0</v>
      </c>
    </row>
    <row r="163" spans="2:7" ht="13.5">
      <c r="B163" s="95" t="s">
        <v>97</v>
      </c>
      <c r="C163" s="96">
        <v>842.3</v>
      </c>
      <c r="D163" s="97">
        <v>50</v>
      </c>
      <c r="E163" s="97">
        <v>50</v>
      </c>
      <c r="F163" s="97">
        <v>50</v>
      </c>
      <c r="G163" s="98">
        <v>1050</v>
      </c>
    </row>
    <row r="164" spans="2:7" ht="13.5">
      <c r="B164" s="95" t="s">
        <v>98</v>
      </c>
      <c r="C164" s="96">
        <v>1065.28</v>
      </c>
      <c r="D164" s="97">
        <v>120</v>
      </c>
      <c r="E164" s="97">
        <v>120</v>
      </c>
      <c r="F164" s="97">
        <v>120</v>
      </c>
      <c r="G164" s="98">
        <v>1120</v>
      </c>
    </row>
    <row r="165" spans="2:7" ht="13.5">
      <c r="B165" s="95" t="s">
        <v>99</v>
      </c>
      <c r="C165" s="96">
        <v>980.57</v>
      </c>
      <c r="D165" s="97">
        <v>100</v>
      </c>
      <c r="E165" s="97">
        <v>100</v>
      </c>
      <c r="F165" s="97">
        <v>100</v>
      </c>
      <c r="G165" s="98">
        <v>1100</v>
      </c>
    </row>
    <row r="166" spans="2:7" ht="13.5">
      <c r="B166" s="92" t="s">
        <v>100</v>
      </c>
      <c r="C166" s="93">
        <v>1120.12</v>
      </c>
      <c r="D166" s="94">
        <v>140</v>
      </c>
      <c r="E166" s="94">
        <v>140</v>
      </c>
      <c r="F166" s="94">
        <v>1140</v>
      </c>
      <c r="G166" s="56">
        <v>0</v>
      </c>
    </row>
    <row r="167" spans="2:7" ht="13.5">
      <c r="B167" s="92" t="s">
        <v>101</v>
      </c>
      <c r="C167" s="93">
        <v>1001.62</v>
      </c>
      <c r="D167" s="94">
        <v>70</v>
      </c>
      <c r="E167" s="94">
        <v>70</v>
      </c>
      <c r="F167" s="94">
        <v>1070</v>
      </c>
      <c r="G167" s="56">
        <v>0</v>
      </c>
    </row>
    <row r="168" spans="2:7" ht="13.5">
      <c r="B168" s="59" t="s">
        <v>102</v>
      </c>
      <c r="C168" s="60">
        <v>834</v>
      </c>
      <c r="D168" s="44">
        <v>0</v>
      </c>
      <c r="E168" s="44">
        <v>1000</v>
      </c>
      <c r="F168" s="44">
        <v>0</v>
      </c>
      <c r="G168" s="57">
        <v>0</v>
      </c>
    </row>
    <row r="169" ht="13.5">
      <c r="G169" s="28"/>
    </row>
    <row r="170" ht="13.5">
      <c r="G170" s="28"/>
    </row>
    <row r="171" ht="13.5">
      <c r="G171" s="28"/>
    </row>
    <row r="174" ht="13.5">
      <c r="B174" s="99" t="s">
        <v>109</v>
      </c>
    </row>
    <row r="175" ht="13.5">
      <c r="B175" s="4" t="s">
        <v>110</v>
      </c>
    </row>
    <row r="176" spans="4:8" ht="16.5">
      <c r="D176" s="11" t="s">
        <v>3</v>
      </c>
      <c r="E176" s="11" t="s">
        <v>104</v>
      </c>
      <c r="F176" s="11" t="s">
        <v>105</v>
      </c>
      <c r="G176" s="11" t="s">
        <v>106</v>
      </c>
      <c r="H176" s="11" t="s">
        <v>107</v>
      </c>
    </row>
    <row r="177" spans="2:8" ht="13.5">
      <c r="B177" s="4" t="s">
        <v>112</v>
      </c>
      <c r="D177" s="45">
        <f>2*C163-C165</f>
        <v>704.0299999999999</v>
      </c>
      <c r="E177" s="45">
        <f>2*D163-D165</f>
        <v>0</v>
      </c>
      <c r="F177" s="45">
        <f>2*E163-E165</f>
        <v>0</v>
      </c>
      <c r="G177" s="45">
        <f>2*F163-F165</f>
        <v>0</v>
      </c>
      <c r="H177" s="45">
        <f>2*G163-G165</f>
        <v>1000</v>
      </c>
    </row>
    <row r="178" spans="2:8" ht="13.5">
      <c r="B178" s="4" t="s">
        <v>111</v>
      </c>
      <c r="D178" s="45">
        <f>C165-D177</f>
        <v>276.5400000000002</v>
      </c>
      <c r="E178" s="45">
        <f>D165-E177</f>
        <v>100</v>
      </c>
      <c r="F178" s="45">
        <f>E165-F177</f>
        <v>100</v>
      </c>
      <c r="G178" s="45">
        <f>F165-G177</f>
        <v>100</v>
      </c>
      <c r="H178" s="45">
        <f>G165-H177</f>
        <v>100</v>
      </c>
    </row>
    <row r="180" ht="13.5">
      <c r="B180" s="4" t="s">
        <v>195</v>
      </c>
    </row>
    <row r="181" spans="2:5" ht="13.5">
      <c r="B181" s="4" t="s">
        <v>114</v>
      </c>
      <c r="C181" s="4" t="s">
        <v>115</v>
      </c>
      <c r="E181" s="45">
        <f>$D$178*0.5+D177</f>
        <v>842.3</v>
      </c>
    </row>
    <row r="182" spans="2:6" ht="15">
      <c r="B182" s="4" t="s">
        <v>116</v>
      </c>
      <c r="C182" s="4" t="s">
        <v>117</v>
      </c>
      <c r="E182" s="100">
        <f>D178*1.2+D177</f>
        <v>1035.8780000000002</v>
      </c>
      <c r="F182" s="102" t="s">
        <v>196</v>
      </c>
    </row>
    <row r="183" spans="2:5" ht="13.5">
      <c r="B183" s="4" t="s">
        <v>118</v>
      </c>
      <c r="C183" s="4" t="s">
        <v>119</v>
      </c>
      <c r="E183" s="45">
        <f>D178*1+D177</f>
        <v>980.57</v>
      </c>
    </row>
    <row r="188" spans="4:8" ht="16.5">
      <c r="D188" s="11" t="s">
        <v>3</v>
      </c>
      <c r="E188" s="11" t="s">
        <v>104</v>
      </c>
      <c r="F188" s="11" t="s">
        <v>105</v>
      </c>
      <c r="G188" s="11" t="s">
        <v>106</v>
      </c>
      <c r="H188" s="11" t="s">
        <v>107</v>
      </c>
    </row>
    <row r="189" spans="2:8" ht="13.5">
      <c r="B189" s="4" t="s">
        <v>197</v>
      </c>
      <c r="D189" s="45">
        <f>1.4*C165-0.4*C163</f>
        <v>1035.878</v>
      </c>
      <c r="E189" s="45">
        <f>1.4*D165-0.4*D163</f>
        <v>120</v>
      </c>
      <c r="F189" s="45">
        <f>1.4*E165-0.4*E163</f>
        <v>120</v>
      </c>
      <c r="G189" s="45">
        <f>1.4*F165-0.4*F163</f>
        <v>120</v>
      </c>
      <c r="H189" s="45">
        <f>1.4*G165-0.4*G163</f>
        <v>1120</v>
      </c>
    </row>
    <row r="190" spans="2:8" ht="13.5">
      <c r="B190" s="4" t="s">
        <v>150</v>
      </c>
      <c r="D190" s="45">
        <f>C164</f>
        <v>1065.28</v>
      </c>
      <c r="E190" s="45">
        <f>D164</f>
        <v>120</v>
      </c>
      <c r="F190" s="45">
        <f>E164</f>
        <v>120</v>
      </c>
      <c r="G190" s="45">
        <f>F164</f>
        <v>120</v>
      </c>
      <c r="H190" s="45">
        <f>G164</f>
        <v>1120</v>
      </c>
    </row>
    <row r="191" spans="4:5" ht="13.5">
      <c r="D191" s="118" t="s">
        <v>198</v>
      </c>
      <c r="E191" s="118"/>
    </row>
    <row r="192" ht="13.5">
      <c r="B192" s="99" t="s">
        <v>120</v>
      </c>
    </row>
    <row r="193" ht="13.5">
      <c r="B193" s="4" t="s">
        <v>121</v>
      </c>
    </row>
    <row r="194" spans="4:8" ht="16.5">
      <c r="D194" s="11" t="s">
        <v>3</v>
      </c>
      <c r="E194" s="11" t="s">
        <v>104</v>
      </c>
      <c r="F194" s="11" t="s">
        <v>105</v>
      </c>
      <c r="G194" s="11" t="s">
        <v>106</v>
      </c>
      <c r="H194" s="10"/>
    </row>
    <row r="195" spans="2:7" ht="13.5">
      <c r="B195" s="4" t="s">
        <v>123</v>
      </c>
      <c r="D195" s="45">
        <f>C162+C166</f>
        <v>1871.4199999999998</v>
      </c>
      <c r="E195" s="45">
        <f>D162+D166</f>
        <v>140</v>
      </c>
      <c r="F195" s="45">
        <f>E162+E166</f>
        <v>140</v>
      </c>
      <c r="G195" s="45">
        <f>F162+F166</f>
        <v>2140</v>
      </c>
    </row>
    <row r="196" spans="2:7" ht="13.5">
      <c r="B196" s="4" t="s">
        <v>124</v>
      </c>
      <c r="D196" s="45">
        <f>2*C167</f>
        <v>2003.24</v>
      </c>
      <c r="E196" s="45">
        <f>2*D167</f>
        <v>140</v>
      </c>
      <c r="F196" s="45">
        <f>2*E167</f>
        <v>140</v>
      </c>
      <c r="G196" s="45">
        <f>2*F167</f>
        <v>2140</v>
      </c>
    </row>
    <row r="197" spans="2:6" ht="13.5">
      <c r="B197"/>
      <c r="C197"/>
      <c r="D197"/>
      <c r="E197"/>
      <c r="F197"/>
    </row>
    <row r="198" spans="2:6" ht="13.5">
      <c r="B198"/>
      <c r="C198"/>
      <c r="D198"/>
      <c r="E198"/>
      <c r="F198"/>
    </row>
    <row r="203" spans="1:7" ht="15.75">
      <c r="A203" s="101">
        <v>9</v>
      </c>
      <c r="B203" s="102" t="s">
        <v>125</v>
      </c>
      <c r="C203" s="108"/>
      <c r="D203" s="105" t="s">
        <v>129</v>
      </c>
      <c r="E203" s="153" t="s">
        <v>1</v>
      </c>
      <c r="F203" s="105" t="s">
        <v>131</v>
      </c>
      <c r="G203" s="109"/>
    </row>
    <row r="204" spans="1:7" ht="15.75">
      <c r="A204" s="101"/>
      <c r="C204" s="109"/>
      <c r="D204" s="103" t="s">
        <v>130</v>
      </c>
      <c r="E204" s="153"/>
      <c r="F204" s="103" t="s">
        <v>132</v>
      </c>
      <c r="G204" s="109"/>
    </row>
    <row r="205" spans="1:5" ht="13.5">
      <c r="A205" s="101"/>
      <c r="C205" s="24" t="s">
        <v>138</v>
      </c>
      <c r="E205" s="21" t="s">
        <v>31</v>
      </c>
    </row>
    <row r="206" spans="4:6" ht="16.5">
      <c r="D206" s="153" t="s">
        <v>133</v>
      </c>
      <c r="E206" s="106" t="s">
        <v>16</v>
      </c>
      <c r="F206" s="18" t="s">
        <v>135</v>
      </c>
    </row>
    <row r="207" spans="4:6" ht="15.75">
      <c r="D207" s="153"/>
      <c r="E207" s="21" t="s">
        <v>134</v>
      </c>
      <c r="F207" s="21" t="s">
        <v>136</v>
      </c>
    </row>
    <row r="208" ht="6.75" customHeight="1">
      <c r="E208" s="46"/>
    </row>
    <row r="209" spans="3:6" ht="13.5">
      <c r="C209" s="24" t="s">
        <v>122</v>
      </c>
      <c r="F209" s="21" t="s">
        <v>31</v>
      </c>
    </row>
    <row r="210" spans="4:7" ht="15.75">
      <c r="D210" s="18" t="s">
        <v>127</v>
      </c>
      <c r="E210" s="153" t="s">
        <v>1</v>
      </c>
      <c r="F210" s="106" t="s">
        <v>182</v>
      </c>
      <c r="G210" s="105" t="s">
        <v>146</v>
      </c>
    </row>
    <row r="211" spans="4:7" ht="15.75">
      <c r="D211" s="21" t="s">
        <v>128</v>
      </c>
      <c r="E211" s="153"/>
      <c r="F211" s="21" t="s">
        <v>134</v>
      </c>
      <c r="G211" s="21" t="s">
        <v>137</v>
      </c>
    </row>
    <row r="212" spans="4:7" ht="13.5">
      <c r="D212" s="21"/>
      <c r="E212" s="104"/>
      <c r="F212" s="21"/>
      <c r="G212" s="21"/>
    </row>
    <row r="213" spans="6:7" ht="13.5">
      <c r="F213" s="21" t="s">
        <v>31</v>
      </c>
      <c r="G213" s="21"/>
    </row>
    <row r="214" spans="3:7" ht="15.75">
      <c r="C214" s="154" t="s">
        <v>139</v>
      </c>
      <c r="D214" s="18" t="s">
        <v>127</v>
      </c>
      <c r="E214" s="153" t="s">
        <v>1</v>
      </c>
      <c r="F214" s="106" t="s">
        <v>16</v>
      </c>
      <c r="G214" s="105" t="s">
        <v>146</v>
      </c>
    </row>
    <row r="215" spans="3:7" ht="15.75">
      <c r="C215" s="154"/>
      <c r="D215" s="21" t="s">
        <v>128</v>
      </c>
      <c r="E215" s="153"/>
      <c r="F215" s="21" t="s">
        <v>134</v>
      </c>
      <c r="G215" s="21" t="s">
        <v>136</v>
      </c>
    </row>
    <row r="216" ht="8.25" customHeight="1"/>
    <row r="217" spans="3:6" ht="12.75" customHeight="1">
      <c r="C217" s="4" t="s">
        <v>140</v>
      </c>
      <c r="F217" s="21" t="s">
        <v>31</v>
      </c>
    </row>
    <row r="218" spans="4:7" ht="16.5">
      <c r="D218" s="154" t="s">
        <v>148</v>
      </c>
      <c r="E218" s="153" t="s">
        <v>1</v>
      </c>
      <c r="F218" s="106" t="s">
        <v>16</v>
      </c>
      <c r="G218" s="18" t="s">
        <v>142</v>
      </c>
    </row>
    <row r="219" spans="4:7" ht="15.75">
      <c r="D219" s="154"/>
      <c r="E219" s="153"/>
      <c r="F219" s="21" t="s">
        <v>134</v>
      </c>
      <c r="G219" s="21" t="s">
        <v>143</v>
      </c>
    </row>
    <row r="220" ht="4.5" customHeight="1"/>
    <row r="221" ht="13.5">
      <c r="C221" s="4" t="s">
        <v>144</v>
      </c>
    </row>
    <row r="222" spans="3:6" ht="13.5">
      <c r="C222" s="154" t="s">
        <v>139</v>
      </c>
      <c r="D222" s="18" t="s">
        <v>127</v>
      </c>
      <c r="E222" s="153" t="s">
        <v>1</v>
      </c>
      <c r="F222" s="153" t="s">
        <v>145</v>
      </c>
    </row>
    <row r="223" spans="3:6" ht="13.5">
      <c r="C223" s="154"/>
      <c r="D223" s="21" t="s">
        <v>128</v>
      </c>
      <c r="E223" s="153"/>
      <c r="F223" s="153"/>
    </row>
    <row r="224" spans="4:6" ht="6" customHeight="1">
      <c r="D224" s="109"/>
      <c r="E224" s="109"/>
      <c r="F224" s="109"/>
    </row>
    <row r="225" spans="3:6" ht="13.5">
      <c r="C225" s="4" t="s">
        <v>147</v>
      </c>
      <c r="D225" s="105" t="s">
        <v>129</v>
      </c>
      <c r="E225" s="153" t="s">
        <v>1</v>
      </c>
      <c r="F225" s="105" t="s">
        <v>246</v>
      </c>
    </row>
    <row r="226" spans="4:6" ht="13.5">
      <c r="D226" s="103" t="s">
        <v>130</v>
      </c>
      <c r="E226" s="153"/>
      <c r="F226" s="103" t="s">
        <v>132</v>
      </c>
    </row>
    <row r="227" spans="4:6" ht="13.5">
      <c r="D227" s="103"/>
      <c r="E227" s="104"/>
      <c r="F227" s="103"/>
    </row>
    <row r="228" ht="11.25" customHeight="1"/>
    <row r="229" spans="1:6" ht="13.5">
      <c r="A229" s="3">
        <v>10</v>
      </c>
      <c r="B229" s="4" t="s">
        <v>149</v>
      </c>
      <c r="E229" s="154" t="s">
        <v>133</v>
      </c>
      <c r="F229" s="18" t="s">
        <v>150</v>
      </c>
    </row>
    <row r="230" spans="5:6" ht="13.5">
      <c r="E230" s="154"/>
      <c r="F230" s="21" t="s">
        <v>151</v>
      </c>
    </row>
    <row r="231" ht="13.5">
      <c r="C231" s="4" t="s">
        <v>152</v>
      </c>
    </row>
    <row r="232" spans="3:5" ht="13.5">
      <c r="C232" s="154" t="s">
        <v>184</v>
      </c>
      <c r="D232" s="36" t="s">
        <v>127</v>
      </c>
      <c r="E232" s="36" t="s">
        <v>139</v>
      </c>
    </row>
    <row r="233" spans="3:5" ht="13.5">
      <c r="C233" s="154"/>
      <c r="D233" s="21" t="s">
        <v>128</v>
      </c>
      <c r="E233" s="21" t="s">
        <v>126</v>
      </c>
    </row>
    <row r="234" spans="2:4" ht="7.5" customHeight="1">
      <c r="B234" s="107"/>
      <c r="C234" s="21"/>
      <c r="D234" s="21"/>
    </row>
    <row r="235" ht="13.5">
      <c r="C235" s="4" t="s">
        <v>153</v>
      </c>
    </row>
    <row r="236" spans="3:5" ht="13.5">
      <c r="C236" s="36" t="s">
        <v>127</v>
      </c>
      <c r="D236" s="142" t="s">
        <v>183</v>
      </c>
      <c r="E236" s="36" t="s">
        <v>150</v>
      </c>
    </row>
    <row r="237" spans="3:5" ht="15.75">
      <c r="C237" s="21" t="s">
        <v>128</v>
      </c>
      <c r="D237" s="142"/>
      <c r="E237" s="21" t="s">
        <v>155</v>
      </c>
    </row>
    <row r="238" ht="7.5" customHeight="1"/>
    <row r="239" ht="13.5">
      <c r="C239" s="4" t="s">
        <v>113</v>
      </c>
    </row>
    <row r="240" spans="3:5" ht="13.5">
      <c r="C240" s="154" t="s">
        <v>141</v>
      </c>
      <c r="D240" s="36" t="s">
        <v>150</v>
      </c>
      <c r="E240" s="36" t="s">
        <v>156</v>
      </c>
    </row>
    <row r="241" spans="3:5" ht="13.5">
      <c r="C241" s="154"/>
      <c r="D241" s="21" t="s">
        <v>154</v>
      </c>
      <c r="E241" s="21" t="s">
        <v>126</v>
      </c>
    </row>
    <row r="242" ht="6.75" customHeight="1"/>
    <row r="243" spans="3:4" ht="13.5">
      <c r="C243" s="154" t="s">
        <v>141</v>
      </c>
      <c r="D243" s="36" t="s">
        <v>139</v>
      </c>
    </row>
    <row r="244" spans="3:4" ht="13.5">
      <c r="C244" s="154"/>
      <c r="D244" s="21" t="s">
        <v>151</v>
      </c>
    </row>
    <row r="246" spans="1:2" ht="13.5">
      <c r="A246" s="3">
        <v>11</v>
      </c>
      <c r="B246" s="4" t="s">
        <v>200</v>
      </c>
    </row>
    <row r="247" ht="4.5" customHeight="1"/>
    <row r="248" spans="2:10" ht="15">
      <c r="B248" s="144" t="s">
        <v>162</v>
      </c>
      <c r="C248" s="145"/>
      <c r="D248" s="143" t="s">
        <v>247</v>
      </c>
      <c r="E248" s="143"/>
      <c r="F248" s="7"/>
      <c r="G248" s="7"/>
      <c r="H248" s="7"/>
      <c r="I248" s="8"/>
      <c r="J248" s="30"/>
    </row>
    <row r="249" spans="2:10" ht="15">
      <c r="B249" s="146"/>
      <c r="C249" s="167"/>
      <c r="D249" s="143" t="s">
        <v>248</v>
      </c>
      <c r="E249" s="143"/>
      <c r="F249" s="16"/>
      <c r="G249" s="126" t="s">
        <v>163</v>
      </c>
      <c r="H249" s="16"/>
      <c r="I249" s="17"/>
      <c r="J249" s="30"/>
    </row>
    <row r="250" ht="7.5" customHeight="1"/>
    <row r="251" ht="13.5">
      <c r="B251" s="4" t="s">
        <v>157</v>
      </c>
    </row>
    <row r="252" spans="3:8" ht="13.5">
      <c r="C252" s="4" t="s">
        <v>158</v>
      </c>
      <c r="E252" s="150" t="s">
        <v>164</v>
      </c>
      <c r="F252" s="150"/>
      <c r="G252" s="22">
        <f>1000*1.23/1.03</f>
        <v>1194.1747572815534</v>
      </c>
      <c r="H252" s="4" t="s">
        <v>168</v>
      </c>
    </row>
    <row r="253" spans="3:8" ht="13.5">
      <c r="C253" s="4" t="s">
        <v>159</v>
      </c>
      <c r="E253" s="150" t="s">
        <v>167</v>
      </c>
      <c r="F253" s="150"/>
      <c r="G253" s="28">
        <f>2.6*1.05/1.03</f>
        <v>2.650485436893204</v>
      </c>
      <c r="H253" s="4" t="s">
        <v>169</v>
      </c>
    </row>
    <row r="254" spans="3:9" ht="15">
      <c r="C254" s="4" t="s">
        <v>160</v>
      </c>
      <c r="E254" s="150" t="s">
        <v>165</v>
      </c>
      <c r="F254" s="150"/>
      <c r="G254" s="27">
        <f>17.1*1.08/1.03</f>
        <v>17.930097087378645</v>
      </c>
      <c r="H254" s="4" t="s">
        <v>168</v>
      </c>
      <c r="I254" s="4" t="s">
        <v>199</v>
      </c>
    </row>
    <row r="255" spans="3:9" ht="15">
      <c r="C255" s="4" t="s">
        <v>161</v>
      </c>
      <c r="E255" s="150" t="s">
        <v>166</v>
      </c>
      <c r="F255" s="150"/>
      <c r="G255" s="27">
        <f>2.3*1.041/1.03</f>
        <v>2.324563106796116</v>
      </c>
      <c r="H255" s="4" t="s">
        <v>170</v>
      </c>
      <c r="I255" s="4" t="s">
        <v>199</v>
      </c>
    </row>
    <row r="268" spans="1:2" ht="13.5">
      <c r="A268" s="3">
        <v>12</v>
      </c>
      <c r="B268" s="4" t="s">
        <v>252</v>
      </c>
    </row>
    <row r="269" spans="1:5" ht="15">
      <c r="A269" s="4"/>
      <c r="B269" s="5"/>
      <c r="C269" s="7"/>
      <c r="D269" s="127" t="s">
        <v>31</v>
      </c>
      <c r="E269" s="8"/>
    </row>
    <row r="270" spans="2:5" ht="17.25">
      <c r="B270" s="148" t="s">
        <v>201</v>
      </c>
      <c r="C270" s="11">
        <v>1</v>
      </c>
      <c r="D270" s="1" t="s">
        <v>16</v>
      </c>
      <c r="E270" s="114" t="s">
        <v>249</v>
      </c>
    </row>
    <row r="271" spans="2:5" ht="16.5">
      <c r="B271" s="149"/>
      <c r="C271" s="11" t="s">
        <v>202</v>
      </c>
      <c r="D271" s="128" t="s">
        <v>203</v>
      </c>
      <c r="E271" s="114" t="s">
        <v>250</v>
      </c>
    </row>
    <row r="273" spans="2:9" ht="13.5">
      <c r="B273" s="129" t="s">
        <v>251</v>
      </c>
      <c r="C273" s="19"/>
      <c r="D273" s="19"/>
      <c r="E273" s="19"/>
      <c r="F273" s="19"/>
      <c r="G273" s="19"/>
      <c r="H273" s="19"/>
      <c r="I273" s="19"/>
    </row>
    <row r="274" spans="2:9" ht="27.75" customHeight="1">
      <c r="B274" s="171" t="s">
        <v>173</v>
      </c>
      <c r="C274" s="172"/>
      <c r="D274" s="86" t="s">
        <v>12</v>
      </c>
      <c r="E274" s="172" t="s">
        <v>253</v>
      </c>
      <c r="F274" s="172"/>
      <c r="G274" s="86" t="s">
        <v>171</v>
      </c>
      <c r="H274" s="86" t="s">
        <v>172</v>
      </c>
      <c r="I274" s="87" t="s">
        <v>174</v>
      </c>
    </row>
    <row r="275" spans="2:9" ht="13.5">
      <c r="B275" s="173">
        <v>0.5</v>
      </c>
      <c r="C275" s="174"/>
      <c r="D275" s="55">
        <f>0.1175/2*1000</f>
        <v>58.75</v>
      </c>
      <c r="E275" s="168">
        <f>D275/1.02405^(B275/0.5)</f>
        <v>57.37024559347689</v>
      </c>
      <c r="F275" s="168"/>
      <c r="G275" s="179">
        <f>(113+7/32)*1000/100</f>
        <v>1132.1875</v>
      </c>
      <c r="H275" s="113">
        <f>E275/G275</f>
        <v>0.0506720358540232</v>
      </c>
      <c r="I275" s="130">
        <f>H275*B275</f>
        <v>0.0253360179270116</v>
      </c>
    </row>
    <row r="276" spans="2:9" ht="13.5">
      <c r="B276" s="173">
        <v>1</v>
      </c>
      <c r="C276" s="174"/>
      <c r="D276" s="55">
        <f>0.1175/2*1000</f>
        <v>58.75</v>
      </c>
      <c r="E276" s="168">
        <f>D276/1.02405^(B276/0.5)</f>
        <v>56.02289496946135</v>
      </c>
      <c r="F276" s="168"/>
      <c r="G276" s="55">
        <f>G275</f>
        <v>1132.1875</v>
      </c>
      <c r="H276" s="113">
        <f>E276/G276</f>
        <v>0.0494819939007111</v>
      </c>
      <c r="I276" s="130">
        <f>H276*B276</f>
        <v>0.0494819939007111</v>
      </c>
    </row>
    <row r="277" spans="2:9" ht="13.5">
      <c r="B277" s="173">
        <v>1.5</v>
      </c>
      <c r="C277" s="174"/>
      <c r="D277" s="55">
        <f>0.1175/2*1000</f>
        <v>58.75</v>
      </c>
      <c r="E277" s="168">
        <f>D277/1.02405^(B277/0.5)</f>
        <v>54.70718711924354</v>
      </c>
      <c r="F277" s="168"/>
      <c r="G277" s="55">
        <f>G276</f>
        <v>1132.1875</v>
      </c>
      <c r="H277" s="113">
        <f>E277/G277</f>
        <v>0.04831990029853142</v>
      </c>
      <c r="I277" s="130">
        <f>H277*B277</f>
        <v>0.07247985044779713</v>
      </c>
    </row>
    <row r="278" spans="2:9" ht="13.5">
      <c r="B278" s="173">
        <v>2</v>
      </c>
      <c r="C278" s="174"/>
      <c r="D278" s="55">
        <f>0.1175/2*1000+1000</f>
        <v>1058.75</v>
      </c>
      <c r="E278" s="168">
        <f>D278/1.02405^(B278/0.5)</f>
        <v>962.7394666774559</v>
      </c>
      <c r="F278" s="168"/>
      <c r="G278" s="55">
        <f>G277</f>
        <v>1132.1875</v>
      </c>
      <c r="H278" s="43">
        <f>E278/G278</f>
        <v>0.8503357144266792</v>
      </c>
      <c r="I278" s="91">
        <f>H278*B278</f>
        <v>1.7006714288533584</v>
      </c>
    </row>
    <row r="279" spans="2:9" ht="15">
      <c r="B279" s="64"/>
      <c r="C279" s="19"/>
      <c r="D279" s="19"/>
      <c r="E279" s="19"/>
      <c r="F279" s="19"/>
      <c r="G279" s="19"/>
      <c r="H279" s="43">
        <f>SUM(H275:H278)</f>
        <v>0.9988096444799449</v>
      </c>
      <c r="I279" s="133">
        <f>SUM(I275:I278)</f>
        <v>1.8479692911288783</v>
      </c>
    </row>
    <row r="280" ht="15">
      <c r="B280" s="39" t="s">
        <v>254</v>
      </c>
    </row>
    <row r="281" ht="13.5">
      <c r="B281" s="4" t="s">
        <v>263</v>
      </c>
    </row>
    <row r="282" spans="2:16" ht="27.75" customHeight="1">
      <c r="B282" s="171" t="s">
        <v>257</v>
      </c>
      <c r="C282" s="172"/>
      <c r="D282" s="86" t="s">
        <v>12</v>
      </c>
      <c r="E282" s="172" t="s">
        <v>253</v>
      </c>
      <c r="F282" s="172"/>
      <c r="G282" s="86" t="s">
        <v>171</v>
      </c>
      <c r="H282" s="86" t="s">
        <v>172</v>
      </c>
      <c r="I282" s="87" t="s">
        <v>174</v>
      </c>
      <c r="L282" s="180"/>
      <c r="M282" s="180"/>
      <c r="N282" s="180"/>
      <c r="O282" s="180"/>
      <c r="P282" s="180"/>
    </row>
    <row r="283" spans="2:16" ht="15">
      <c r="B283" s="173">
        <v>1</v>
      </c>
      <c r="C283" s="174"/>
      <c r="D283" s="55">
        <f>0.1175/2*1000</f>
        <v>58.75</v>
      </c>
      <c r="E283" s="168">
        <f>D283/1.02405^(B283)</f>
        <v>57.37024559347689</v>
      </c>
      <c r="F283" s="168"/>
      <c r="G283" s="55">
        <f>(113+7/32)*1000/100</f>
        <v>1132.1875</v>
      </c>
      <c r="H283" s="113">
        <f>E283/G283</f>
        <v>0.0506720358540232</v>
      </c>
      <c r="I283" s="130">
        <f>H283*B283</f>
        <v>0.0506720358540232</v>
      </c>
      <c r="L283" s="180"/>
      <c r="M283" s="180"/>
      <c r="N283" s="180"/>
      <c r="O283" s="180"/>
      <c r="P283" s="180"/>
    </row>
    <row r="284" spans="2:16" ht="15">
      <c r="B284" s="173">
        <v>2</v>
      </c>
      <c r="C284" s="174"/>
      <c r="D284" s="55">
        <f>0.1175/2*1000</f>
        <v>58.75</v>
      </c>
      <c r="E284" s="168">
        <f>D284/1.02405^(B284)</f>
        <v>56.02289496946135</v>
      </c>
      <c r="F284" s="168"/>
      <c r="G284" s="55">
        <f>(113+7/32)*1000/100</f>
        <v>1132.1875</v>
      </c>
      <c r="H284" s="113">
        <f>E284/G284</f>
        <v>0.0494819939007111</v>
      </c>
      <c r="I284" s="130">
        <f>H284*B284</f>
        <v>0.0989639878014222</v>
      </c>
      <c r="L284" s="180"/>
      <c r="M284" s="180"/>
      <c r="N284" s="180"/>
      <c r="O284" s="180"/>
      <c r="P284" s="180"/>
    </row>
    <row r="285" spans="2:16" ht="15">
      <c r="B285" s="173">
        <v>3</v>
      </c>
      <c r="C285" s="174"/>
      <c r="D285" s="55">
        <f>0.1175/2*1000</f>
        <v>58.75</v>
      </c>
      <c r="E285" s="168">
        <f>D285/1.02405^(B285)</f>
        <v>54.70718711924354</v>
      </c>
      <c r="F285" s="168"/>
      <c r="G285" s="55">
        <f>(113+7/32)*1000/100</f>
        <v>1132.1875</v>
      </c>
      <c r="H285" s="113">
        <f>E285/G285</f>
        <v>0.04831990029853142</v>
      </c>
      <c r="I285" s="130">
        <f>H285*B285</f>
        <v>0.14495970089559426</v>
      </c>
      <c r="L285" s="180"/>
      <c r="M285" s="180"/>
      <c r="N285" s="180"/>
      <c r="O285" s="180"/>
      <c r="P285" s="180"/>
    </row>
    <row r="286" spans="2:16" ht="15">
      <c r="B286" s="173">
        <v>4</v>
      </c>
      <c r="C286" s="174"/>
      <c r="D286" s="55">
        <f>0.1175/2*1000+1000</f>
        <v>1058.75</v>
      </c>
      <c r="E286" s="168">
        <f>D286/1.02405^(B286)</f>
        <v>962.7394666774559</v>
      </c>
      <c r="F286" s="168"/>
      <c r="G286" s="55">
        <f>(113+7/32)*1000/100</f>
        <v>1132.1875</v>
      </c>
      <c r="H286" s="43">
        <f>E286/G286</f>
        <v>0.8503357144266792</v>
      </c>
      <c r="I286" s="91">
        <f>H286*B286</f>
        <v>3.401342857706717</v>
      </c>
      <c r="L286" s="180"/>
      <c r="M286" s="180"/>
      <c r="N286" s="180"/>
      <c r="O286" s="180"/>
      <c r="P286" s="180"/>
    </row>
    <row r="287" spans="2:16" ht="15">
      <c r="B287" s="64"/>
      <c r="C287" s="19"/>
      <c r="D287" s="19"/>
      <c r="E287" s="19"/>
      <c r="F287" s="19"/>
      <c r="G287" s="19"/>
      <c r="H287" s="43">
        <f>SUM(H283:H286)</f>
        <v>0.9988096444799449</v>
      </c>
      <c r="I287" s="133">
        <f>SUM(I283:I286)</f>
        <v>3.6959385822577566</v>
      </c>
      <c r="L287" s="180"/>
      <c r="M287" s="180"/>
      <c r="N287" s="180"/>
      <c r="O287" s="180"/>
      <c r="P287" s="180"/>
    </row>
    <row r="288" spans="12:16" ht="15">
      <c r="L288" s="180"/>
      <c r="M288" s="180"/>
      <c r="N288" s="180"/>
      <c r="O288" s="180"/>
      <c r="P288" s="180"/>
    </row>
    <row r="289" spans="3:16" ht="15">
      <c r="C289" s="138" t="s">
        <v>258</v>
      </c>
      <c r="D289" s="139"/>
      <c r="E289" s="139" t="s">
        <v>259</v>
      </c>
      <c r="F289" s="139"/>
      <c r="G289" s="140"/>
      <c r="L289" s="180"/>
      <c r="M289" s="180"/>
      <c r="N289" s="180"/>
      <c r="O289" s="180"/>
      <c r="P289" s="180"/>
    </row>
    <row r="290" spans="2:16" ht="15">
      <c r="B290" s="39"/>
      <c r="L290" s="180"/>
      <c r="M290" s="180"/>
      <c r="N290" s="180"/>
      <c r="O290" s="180"/>
      <c r="P290" s="180"/>
    </row>
    <row r="292" spans="1:2" ht="13.5">
      <c r="A292" s="3">
        <v>13</v>
      </c>
      <c r="B292" s="4" t="s">
        <v>204</v>
      </c>
    </row>
    <row r="294" spans="2:9" ht="28.5" customHeight="1">
      <c r="B294" s="171" t="s">
        <v>173</v>
      </c>
      <c r="C294" s="172"/>
      <c r="D294" s="86" t="s">
        <v>12</v>
      </c>
      <c r="E294" s="172" t="s">
        <v>175</v>
      </c>
      <c r="F294" s="172"/>
      <c r="G294" s="110" t="s">
        <v>205</v>
      </c>
      <c r="H294" s="86" t="s">
        <v>172</v>
      </c>
      <c r="I294" s="87" t="s">
        <v>174</v>
      </c>
    </row>
    <row r="295" spans="2:9" ht="13.5">
      <c r="B295" s="169">
        <v>1</v>
      </c>
      <c r="C295" s="170"/>
      <c r="D295" s="111">
        <v>150000</v>
      </c>
      <c r="E295" s="175">
        <f>D295/(1+0.09)^B295</f>
        <v>137614.67889908256</v>
      </c>
      <c r="F295" s="175"/>
      <c r="G295" s="112">
        <f>G301</f>
        <v>583447.6895027579</v>
      </c>
      <c r="H295" s="113">
        <f>E295/G295</f>
        <v>0.23586463940985763</v>
      </c>
      <c r="I295" s="131">
        <f>H295*B295</f>
        <v>0.23586463940985763</v>
      </c>
    </row>
    <row r="296" spans="2:9" ht="13.5">
      <c r="B296" s="169">
        <v>2</v>
      </c>
      <c r="C296" s="170"/>
      <c r="D296" s="111">
        <f>D295</f>
        <v>150000</v>
      </c>
      <c r="E296" s="175">
        <f>D296/(1+0.09)^B296</f>
        <v>126251.99898998399</v>
      </c>
      <c r="F296" s="175"/>
      <c r="G296" s="112">
        <f>G295</f>
        <v>583447.6895027579</v>
      </c>
      <c r="H296" s="113">
        <f>E296/G296</f>
        <v>0.21638957744023635</v>
      </c>
      <c r="I296" s="131">
        <f>H296*B296</f>
        <v>0.4327791548804727</v>
      </c>
    </row>
    <row r="297" spans="2:9" ht="13.5">
      <c r="B297" s="169">
        <v>3</v>
      </c>
      <c r="C297" s="170"/>
      <c r="D297" s="111">
        <f>D296</f>
        <v>150000</v>
      </c>
      <c r="E297" s="175">
        <f>D297/(1+0.09)^B297</f>
        <v>115827.52200915963</v>
      </c>
      <c r="F297" s="175"/>
      <c r="G297" s="112">
        <f>G296</f>
        <v>583447.6895027579</v>
      </c>
      <c r="H297" s="113">
        <f>E297/G297</f>
        <v>0.1985225481103086</v>
      </c>
      <c r="I297" s="131">
        <f>H297*B297</f>
        <v>0.5955676443309258</v>
      </c>
    </row>
    <row r="298" spans="2:9" ht="13.5">
      <c r="B298" s="169">
        <v>4</v>
      </c>
      <c r="C298" s="170"/>
      <c r="D298" s="111">
        <f>D297</f>
        <v>150000</v>
      </c>
      <c r="E298" s="175">
        <f>D298/(1+0.09)^B298</f>
        <v>106263.78165977947</v>
      </c>
      <c r="F298" s="175"/>
      <c r="G298" s="112">
        <f>G297</f>
        <v>583447.6895027579</v>
      </c>
      <c r="H298" s="113">
        <f>E298/G298</f>
        <v>0.1821307780828519</v>
      </c>
      <c r="I298" s="131">
        <f>H298*B298</f>
        <v>0.7285231123314077</v>
      </c>
    </row>
    <row r="299" spans="2:9" ht="13.5">
      <c r="B299" s="169">
        <v>5</v>
      </c>
      <c r="C299" s="170"/>
      <c r="D299" s="111">
        <f>D298</f>
        <v>150000</v>
      </c>
      <c r="E299" s="175">
        <f>D299/(1+0.09)^B299</f>
        <v>97489.70794475179</v>
      </c>
      <c r="F299" s="175"/>
      <c r="G299" s="112">
        <f>G298</f>
        <v>583447.6895027579</v>
      </c>
      <c r="H299" s="43">
        <f>E299/G299</f>
        <v>0.16709245695674482</v>
      </c>
      <c r="I299" s="132">
        <f>H299*B299</f>
        <v>0.8354622847837241</v>
      </c>
    </row>
    <row r="300" spans="2:9" ht="15">
      <c r="B300" s="64"/>
      <c r="C300" s="19"/>
      <c r="D300" s="19"/>
      <c r="E300" s="19"/>
      <c r="F300" s="19"/>
      <c r="G300" s="19"/>
      <c r="H300" s="43">
        <f>SUM(H295:H299)</f>
        <v>0.9999999999999993</v>
      </c>
      <c r="I300" s="133">
        <f>SUM(I295:I299)</f>
        <v>2.828196835736388</v>
      </c>
    </row>
    <row r="301" spans="2:7" ht="15.75">
      <c r="B301" s="4" t="s">
        <v>206</v>
      </c>
      <c r="F301" s="22"/>
      <c r="G301" s="22">
        <f>150000*(1/0.09-1/(0.09*(1+0.09)^5))</f>
        <v>583447.6895027579</v>
      </c>
    </row>
    <row r="302" ht="13.5">
      <c r="B302" s="4" t="s">
        <v>176</v>
      </c>
    </row>
    <row r="303" spans="2:6" ht="13.5">
      <c r="B303" s="4" t="s">
        <v>177</v>
      </c>
      <c r="F303" s="33">
        <f>I300/1.09/100</f>
        <v>0.025946759960884292</v>
      </c>
    </row>
    <row r="304" spans="2:9" ht="15">
      <c r="B304" s="4" t="s">
        <v>207</v>
      </c>
      <c r="I304" s="134">
        <f>F303*G301*0.5</f>
        <v>7569.288574630304</v>
      </c>
    </row>
    <row r="305" ht="13.5">
      <c r="C305" s="102"/>
    </row>
    <row r="306" ht="13.5">
      <c r="C306" s="28"/>
    </row>
    <row r="307" ht="13.5">
      <c r="A307" s="3">
        <v>14</v>
      </c>
    </row>
    <row r="308" ht="13.5">
      <c r="A308" s="3" t="s">
        <v>208</v>
      </c>
    </row>
    <row r="313" spans="2:3" ht="15">
      <c r="B313" s="24" t="s">
        <v>54</v>
      </c>
      <c r="C313" s="33">
        <v>0.04</v>
      </c>
    </row>
    <row r="314" spans="2:9" ht="16.5">
      <c r="B314" s="24" t="s">
        <v>55</v>
      </c>
      <c r="C314" s="33">
        <v>0.045</v>
      </c>
      <c r="E314" s="3" t="s">
        <v>209</v>
      </c>
      <c r="G314" s="49">
        <f>(1+C314)^3/(1+C313)^2-1</f>
        <v>0.05507223095414182</v>
      </c>
      <c r="H314" s="21" t="s">
        <v>1</v>
      </c>
      <c r="I314" s="117" t="s">
        <v>210</v>
      </c>
    </row>
    <row r="315" spans="2:9" ht="16.5">
      <c r="B315" s="24" t="s">
        <v>56</v>
      </c>
      <c r="C315" s="33">
        <v>0.05</v>
      </c>
      <c r="E315" s="4" t="s">
        <v>211</v>
      </c>
      <c r="G315" s="136">
        <f>(1+5%)^4/(1+4.5%)^3-1</f>
        <v>0.06514399908251756</v>
      </c>
      <c r="H315" s="21" t="s">
        <v>1</v>
      </c>
      <c r="I315" s="117" t="s">
        <v>260</v>
      </c>
    </row>
    <row r="316" spans="5:9" ht="16.5">
      <c r="E316" s="117" t="s">
        <v>261</v>
      </c>
      <c r="G316" s="177">
        <f>((1+C315)^4/(1+C313)^2)^(1/2)-1</f>
        <v>0.060096153846153744</v>
      </c>
      <c r="H316" s="21" t="s">
        <v>1</v>
      </c>
      <c r="I316" s="178" t="s">
        <v>262</v>
      </c>
    </row>
    <row r="317" ht="13.5">
      <c r="B317" s="4" t="s">
        <v>212</v>
      </c>
    </row>
    <row r="318" spans="2:5" ht="15">
      <c r="B318" s="24" t="s">
        <v>213</v>
      </c>
      <c r="C318" s="4" t="s">
        <v>215</v>
      </c>
      <c r="E318" s="134">
        <f>100/(1+G314)</f>
        <v>94.78024069457899</v>
      </c>
    </row>
    <row r="319" spans="2:5" ht="16.5">
      <c r="B319" s="24" t="s">
        <v>214</v>
      </c>
      <c r="C319" s="4" t="s">
        <v>216</v>
      </c>
      <c r="E319" s="176">
        <f>100/(1+G316)^2</f>
        <v>88.98349967348997</v>
      </c>
    </row>
    <row r="321" spans="1:2" ht="13.5">
      <c r="A321" s="3" t="s">
        <v>40</v>
      </c>
      <c r="B321" s="4" t="s">
        <v>217</v>
      </c>
    </row>
    <row r="323" spans="2:3" ht="15">
      <c r="B323" s="117" t="s">
        <v>255</v>
      </c>
      <c r="C323" s="135">
        <f>G315</f>
        <v>0.06514399908251756</v>
      </c>
    </row>
  </sheetData>
  <mergeCells count="79">
    <mergeCell ref="B286:C286"/>
    <mergeCell ref="E286:F286"/>
    <mergeCell ref="E283:F283"/>
    <mergeCell ref="E284:F284"/>
    <mergeCell ref="E285:F285"/>
    <mergeCell ref="B284:C284"/>
    <mergeCell ref="B285:C285"/>
    <mergeCell ref="B282:C282"/>
    <mergeCell ref="E282:F282"/>
    <mergeCell ref="B283:C283"/>
    <mergeCell ref="B299:C299"/>
    <mergeCell ref="E295:F295"/>
    <mergeCell ref="E296:F296"/>
    <mergeCell ref="E297:F297"/>
    <mergeCell ref="E298:F298"/>
    <mergeCell ref="E299:F299"/>
    <mergeCell ref="B295:C295"/>
    <mergeCell ref="B296:C296"/>
    <mergeCell ref="E277:F277"/>
    <mergeCell ref="E278:F278"/>
    <mergeCell ref="B297:C297"/>
    <mergeCell ref="B298:C298"/>
    <mergeCell ref="B274:C274"/>
    <mergeCell ref="E274:F274"/>
    <mergeCell ref="B294:C294"/>
    <mergeCell ref="E294:F294"/>
    <mergeCell ref="B275:C275"/>
    <mergeCell ref="B276:C276"/>
    <mergeCell ref="B277:C277"/>
    <mergeCell ref="B278:C278"/>
    <mergeCell ref="E275:F275"/>
    <mergeCell ref="E276:F276"/>
    <mergeCell ref="E252:F252"/>
    <mergeCell ref="E253:F253"/>
    <mergeCell ref="E254:F254"/>
    <mergeCell ref="E255:F255"/>
    <mergeCell ref="C240:C241"/>
    <mergeCell ref="C243:C244"/>
    <mergeCell ref="D248:E248"/>
    <mergeCell ref="D249:E249"/>
    <mergeCell ref="B248:C249"/>
    <mergeCell ref="E229:E230"/>
    <mergeCell ref="C222:C223"/>
    <mergeCell ref="E222:E223"/>
    <mergeCell ref="D236:D237"/>
    <mergeCell ref="H155:I155"/>
    <mergeCell ref="H156:I156"/>
    <mergeCell ref="F222:F223"/>
    <mergeCell ref="C214:C215"/>
    <mergeCell ref="E210:E211"/>
    <mergeCell ref="E214:E215"/>
    <mergeCell ref="D218:D219"/>
    <mergeCell ref="E218:E219"/>
    <mergeCell ref="H157:I157"/>
    <mergeCell ref="H158:I158"/>
    <mergeCell ref="C128:C129"/>
    <mergeCell ref="H128:H129"/>
    <mergeCell ref="C133:C134"/>
    <mergeCell ref="H133:H134"/>
    <mergeCell ref="I128:I129"/>
    <mergeCell ref="I133:I134"/>
    <mergeCell ref="H152:I152"/>
    <mergeCell ref="H154:I154"/>
    <mergeCell ref="H119:H120"/>
    <mergeCell ref="I119:I120"/>
    <mergeCell ref="B119:B120"/>
    <mergeCell ref="B123:B124"/>
    <mergeCell ref="H123:H124"/>
    <mergeCell ref="I123:I124"/>
    <mergeCell ref="B84:B85"/>
    <mergeCell ref="B270:B271"/>
    <mergeCell ref="D32:F32"/>
    <mergeCell ref="D38:F38"/>
    <mergeCell ref="C119:C120"/>
    <mergeCell ref="C123:C124"/>
    <mergeCell ref="D206:D207"/>
    <mergeCell ref="C232:C233"/>
    <mergeCell ref="E203:E204"/>
    <mergeCell ref="E225:E226"/>
  </mergeCells>
  <printOptions/>
  <pageMargins left="0.33" right="0.27" top="0.47" bottom="0.43" header="0.3" footer="0.38"/>
  <pageSetup horizontalDpi="600" verticalDpi="600" orientation="portrait" r:id="rId2"/>
  <rowBreaks count="4" manualBreakCount="4">
    <brk id="52" max="255" man="1"/>
    <brk id="202" max="255" man="1"/>
    <brk id="245" max="255" man="1"/>
    <brk id="30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 SLOAN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Xiaoyin Zhang</dc:creator>
  <cp:keywords/>
  <dc:description/>
  <cp:lastModifiedBy>Xiaoyin Zhang</cp:lastModifiedBy>
  <cp:lastPrinted>1999-02-25T04:50:53Z</cp:lastPrinted>
  <dcterms:created xsi:type="dcterms:W3CDTF">1999-02-07T22:39:29Z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