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8535" activeTab="5"/>
  </bookViews>
  <sheets>
    <sheet name="#1" sheetId="1" r:id="rId1"/>
    <sheet name="#2" sheetId="2" r:id="rId2"/>
    <sheet name="#3" sheetId="3" r:id="rId3"/>
    <sheet name="#4" sheetId="4" r:id="rId4"/>
    <sheet name="#5" sheetId="5" r:id="rId5"/>
    <sheet name="#6" sheetId="6" r:id="rId6"/>
    <sheet name="#7" sheetId="7" r:id="rId7"/>
    <sheet name="#8" sheetId="8" r:id="rId8"/>
  </sheets>
  <definedNames>
    <definedName name="_xlnm.Print_Area" localSheetId="3">'#4'!$A:$IV</definedName>
    <definedName name="solver_adj" localSheetId="0" hidden="1">'#1'!$F$24</definedName>
    <definedName name="solver_cvg" localSheetId="0" hidden="1">0.0001</definedName>
    <definedName name="solver_drv" localSheetId="0" hidden="1">1</definedName>
    <definedName name="solver_eng" localSheetId="0" hidden="1">1</definedName>
    <definedName name="solver_est" localSheetId="0" hidden="1">1</definedName>
    <definedName name="solver_ibd" localSheetId="0" hidden="1">2</definedName>
    <definedName name="solver_itr" localSheetId="0" hidden="1">100</definedName>
    <definedName name="solver_lin" localSheetId="0" hidden="1">2</definedName>
    <definedName name="solver_lva" localSheetId="0" hidden="1">2</definedName>
    <definedName name="solver_mip" localSheetId="0" hidden="1">1000</definedName>
    <definedName name="solver_neg" localSheetId="0" hidden="1">2</definedName>
    <definedName name="solver_nod" localSheetId="0" hidden="1">1000</definedName>
    <definedName name="solver_num" localSheetId="0" hidden="1">0</definedName>
    <definedName name="solver_nwt" localSheetId="0" hidden="1">1</definedName>
    <definedName name="solver_ofx" localSheetId="0" hidden="1">2</definedName>
    <definedName name="solver_opt" localSheetId="0" hidden="1">'#1'!$C$19</definedName>
    <definedName name="solver_pre" localSheetId="0" hidden="1">0.000001</definedName>
    <definedName name="solver_pro" localSheetId="0" hidden="1">2</definedName>
    <definedName name="solver_reo" localSheetId="0" hidden="1">2</definedName>
    <definedName name="solver_rep" localSheetId="0" hidden="1">2</definedName>
    <definedName name="solver_rlx" localSheetId="0" hidden="1">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definedName>
    <definedName name="solver_ver" localSheetId="0" hidden="1">2</definedName>
  </definedNames>
  <calcPr fullCalcOnLoad="1"/>
</workbook>
</file>

<file path=xl/sharedStrings.xml><?xml version="1.0" encoding="utf-8"?>
<sst xmlns="http://schemas.openxmlformats.org/spreadsheetml/2006/main" count="170" uniqueCount="143">
  <si>
    <t>Problem Set #4 Solution</t>
  </si>
  <si>
    <t>Prepared by Xiaoyin Zhang</t>
  </si>
  <si>
    <t>Review Sessions:  March 9, 10:00 -11:00a.m., 11:00a.m. - 12:00p.m., in Rm E51-361</t>
  </si>
  <si>
    <t>PV =</t>
  </si>
  <si>
    <t>March 10, 8:45 - 9:45a.m., in Rm E51-335</t>
  </si>
  <si>
    <t>Cash Flow</t>
  </si>
  <si>
    <t>NPV</t>
  </si>
  <si>
    <t>NPV =</t>
  </si>
  <si>
    <t>IRR1</t>
  </si>
  <si>
    <t>IRR2</t>
  </si>
  <si>
    <t>R</t>
  </si>
  <si>
    <t>Rental Income, Net of expense and tax</t>
  </si>
  <si>
    <t>Expenditure for clean up the building</t>
  </si>
  <si>
    <t>Time to rent</t>
  </si>
  <si>
    <t>year</t>
  </si>
  <si>
    <t>Time to sell</t>
  </si>
  <si>
    <t>Opportunity cost of capital</t>
  </si>
  <si>
    <t>real term</t>
  </si>
  <si>
    <t>grow with inflation</t>
  </si>
  <si>
    <t>Market price of Warehouse decline</t>
  </si>
  <si>
    <t>Sales commission</t>
  </si>
  <si>
    <t xml:space="preserve">Appraisal Value For warehouse = </t>
  </si>
  <si>
    <t>(1)</t>
  </si>
  <si>
    <t>PV of lost of 1st year rent:</t>
  </si>
  <si>
    <t>=</t>
  </si>
  <si>
    <r>
      <t>(1+ 8%)</t>
    </r>
    <r>
      <rPr>
        <vertAlign val="superscript"/>
        <sz val="10"/>
        <rFont val="Book Antiqua"/>
        <family val="1"/>
      </rPr>
      <t>1/2</t>
    </r>
  </si>
  <si>
    <t>(2)</t>
  </si>
  <si>
    <t>PV of Clean up cost</t>
  </si>
  <si>
    <t>(3)</t>
  </si>
  <si>
    <t xml:space="preserve"> of Selling price</t>
  </si>
  <si>
    <t>-</t>
  </si>
  <si>
    <t>Sales Commission is 5% of Selling Price, paid at the beginning of year 2:</t>
  </si>
  <si>
    <t>So, the PV of the Building is:</t>
  </si>
  <si>
    <t>1,000,000 - 76,980 - 192,450 - 45,370 =</t>
  </si>
  <si>
    <t>4. #17, p. 138</t>
  </si>
  <si>
    <t>3. #3, p. 288</t>
  </si>
  <si>
    <t>2. #10, p. 290</t>
  </si>
  <si>
    <t xml:space="preserve">(a) </t>
  </si>
  <si>
    <t>(b)</t>
  </si>
  <si>
    <t>(c)</t>
  </si>
  <si>
    <t>Depreciation</t>
  </si>
  <si>
    <t>Operating Costs -exclude depreciation</t>
  </si>
  <si>
    <t>EBIT</t>
  </si>
  <si>
    <t>Tax Effect EBIT</t>
  </si>
  <si>
    <t>+ Depreciation</t>
  </si>
  <si>
    <t>Revenue</t>
  </si>
  <si>
    <t>- Increase in Working Capital</t>
  </si>
  <si>
    <t>- Capex</t>
  </si>
  <si>
    <t>Increase in Inventories</t>
  </si>
  <si>
    <t>Net Change in A/Rs and A/Ps</t>
  </si>
  <si>
    <t>FCF</t>
  </si>
  <si>
    <t>Overhead</t>
  </si>
  <si>
    <t>Liquidation Value</t>
  </si>
  <si>
    <t>Sales Expanded</t>
  </si>
  <si>
    <t xml:space="preserve">Expenses Decrease </t>
  </si>
  <si>
    <t>a.</t>
  </si>
  <si>
    <t>b.</t>
  </si>
  <si>
    <t>c.</t>
  </si>
  <si>
    <t>d.</t>
  </si>
  <si>
    <t>f.</t>
  </si>
  <si>
    <t>Increase in WC</t>
  </si>
  <si>
    <t xml:space="preserve">g. </t>
  </si>
  <si>
    <t>Depreciation tax shield</t>
  </si>
  <si>
    <t>Net Increase in Cash Flow</t>
  </si>
  <si>
    <t>Discount Rate</t>
  </si>
  <si>
    <t>After Tax Increase in Income</t>
  </si>
  <si>
    <t>First, let's calculate the NPV for the old copiers:</t>
  </si>
  <si>
    <t>Depreciation Tax Shield</t>
  </si>
  <si>
    <t>Original Cost</t>
  </si>
  <si>
    <t xml:space="preserve"> </t>
  </si>
  <si>
    <t>4 years</t>
  </si>
  <si>
    <t>Tax Rate</t>
  </si>
  <si>
    <t>Opportunity cost of keeping it</t>
  </si>
  <si>
    <t>Current Market Value</t>
  </si>
  <si>
    <t>Carrying Value Now</t>
  </si>
  <si>
    <t>Net Incremental Cash Flow</t>
  </si>
  <si>
    <t>Maintenance Cost (net of tax)</t>
  </si>
  <si>
    <t>NPV of New copiers</t>
  </si>
  <si>
    <t>Cost</t>
  </si>
  <si>
    <t>Because the EAC for new copiers is less than that for old copiers, we should replace the old ones immediately.</t>
  </si>
  <si>
    <t>#12, p.137</t>
  </si>
  <si>
    <t>#12, p. 112</t>
  </si>
  <si>
    <t>#11, p.315</t>
  </si>
  <si>
    <t>Project</t>
  </si>
  <si>
    <t>Investment</t>
  </si>
  <si>
    <t>PV, at start of year</t>
  </si>
  <si>
    <t>PV, at end of year</t>
  </si>
  <si>
    <t>Change in Value during year</t>
  </si>
  <si>
    <t>Economic Income</t>
  </si>
  <si>
    <t>Rate of Return</t>
  </si>
  <si>
    <t>Economic Profitability</t>
  </si>
  <si>
    <t>Book Profitability</t>
  </si>
  <si>
    <t>BV, at start of year</t>
  </si>
  <si>
    <t>BV, at end of year</t>
  </si>
  <si>
    <t>Change in BV during year</t>
  </si>
  <si>
    <t>Book ROI</t>
  </si>
  <si>
    <t>Book Income</t>
  </si>
  <si>
    <t>Book Depreciation - 10 yr SL, no salvage value</t>
  </si>
  <si>
    <t>Steady-state book rate of return (ROI) for a mature company</t>
  </si>
  <si>
    <t xml:space="preserve"> Assume no growth and competitive spread</t>
  </si>
  <si>
    <t>years</t>
  </si>
  <si>
    <r>
      <t xml:space="preserve">PV of sales commission - we assume the building is sold at the </t>
    </r>
    <r>
      <rPr>
        <b/>
        <u val="single"/>
        <sz val="10"/>
        <rFont val="Book Antiqua"/>
        <family val="1"/>
      </rPr>
      <t>end of year 2</t>
    </r>
  </si>
  <si>
    <r>
      <t>(1+8%)</t>
    </r>
    <r>
      <rPr>
        <vertAlign val="superscript"/>
        <sz val="10"/>
        <rFont val="Book Antiqua"/>
        <family val="1"/>
      </rPr>
      <t>2</t>
    </r>
  </si>
  <si>
    <t xml:space="preserve">NPV </t>
  </si>
  <si>
    <t>(All in Thousands)</t>
  </si>
  <si>
    <t>@</t>
  </si>
  <si>
    <t>Cost of Capital</t>
  </si>
  <si>
    <t xml:space="preserve">  </t>
  </si>
  <si>
    <t>Sale of old Equipment - net of tax</t>
  </si>
  <si>
    <t>Remaining Depreciation life</t>
  </si>
  <si>
    <t>Initial Investment</t>
  </si>
  <si>
    <t xml:space="preserve">Note:  Both machines are depreciated by using 7-year ACRS, and the tax rate is 35%.  </t>
  </si>
  <si>
    <t>Please refer to BM p.123, Table 6-5 for ARCS tax depreciation schedule.</t>
  </si>
  <si>
    <t>PI</t>
  </si>
  <si>
    <t>NPV*</t>
  </si>
  <si>
    <t>* Note: Do not use the NPV funtion in Excel to calculate NPV for negative IRRs since it gives the wrong values.</t>
  </si>
  <si>
    <t>Economic Income = Cash Flow - Economic Depreciation</t>
  </si>
  <si>
    <t>Rate of Return = (Cash Flow + Change in PV)/PV at start of year</t>
  </si>
  <si>
    <t>Book ROI = (Cash Flow + Change in BV)/ BV at start of year</t>
  </si>
  <si>
    <t>Economic Depreciation = Reduction in present value</t>
  </si>
  <si>
    <t>Economic Depreciation</t>
  </si>
  <si>
    <t>Change in Value during year = Economic Depreciation</t>
  </si>
  <si>
    <t>Change in BV during year = Book Depreciation</t>
  </si>
  <si>
    <t>(all numbers and assumptions are based on Table 11-2 on p. 278)</t>
  </si>
  <si>
    <t>Steady-state condition occurs when the firm does not grow, but reinvests just enough each year to maintain book income and assets values.</t>
  </si>
  <si>
    <t>Book Income = Cash Flow + Change In Book Value</t>
  </si>
  <si>
    <t>Straight line depreciation 10 years</t>
  </si>
  <si>
    <t>Total Book Income</t>
  </si>
  <si>
    <t>Total Book Value</t>
  </si>
  <si>
    <t>The true rate of return is 8%, so steady-state book ROI of 13.8% overstates the true rate of return.</t>
  </si>
  <si>
    <t>Note: The cost of feasibility study is sunk, therefore not included.</t>
  </si>
  <si>
    <t>Book Value for Polyzone production plant</t>
  </si>
  <si>
    <t>Book ROI for all PolyzonePlants</t>
  </si>
  <si>
    <t>Book Income for Polyzone production plant</t>
  </si>
  <si>
    <t>Note: For a detailed discussion on this topic, please refer to BM Chp. 12, p.308.</t>
  </si>
  <si>
    <t xml:space="preserve">It appears that investors are not expecting the value of the parcel to grow, because $80,000 in cash flows gives the full required return </t>
  </si>
  <si>
    <t>(80,000/1,000,000 = 0.08)</t>
  </si>
  <si>
    <t>So, NPV at 20% is $4,726,000</t>
  </si>
  <si>
    <t xml:space="preserve">When evaluating the project, we only care about the incremental cash flows, including potential opportunity costs.  </t>
  </si>
  <si>
    <r>
      <t>After tax</t>
    </r>
    <r>
      <rPr>
        <sz val="10"/>
        <rFont val="Book Antiqua"/>
        <family val="1"/>
      </rPr>
      <t xml:space="preserve"> incremental cash flows are what we need to calculate the project NPV.</t>
    </r>
  </si>
  <si>
    <r>
      <t xml:space="preserve">In order to compare two streams of cash flows with different repeated cycles, we need to use </t>
    </r>
    <r>
      <rPr>
        <b/>
        <u val="single"/>
        <sz val="10"/>
        <rFont val="Book Antiqua"/>
        <family val="1"/>
      </rPr>
      <t>Equivalent Annual Cost</t>
    </r>
    <r>
      <rPr>
        <sz val="10"/>
        <rFont val="Book Antiqua"/>
        <family val="1"/>
      </rPr>
      <t>.</t>
    </r>
  </si>
  <si>
    <t>The Equivalent Annual Cost for old copies is = - 23,261 x (A/P, 7%, 6)</t>
  </si>
  <si>
    <t>The Equivalent Annual Cost for old copies is = - 21,967 x (A/P, 7%, 8)</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</si>
</sst>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_(* #,##0.000_);_(* \(#,##0.000\);_(* &quot;-&quot;??_);_(@_)"/>
    <numFmt numFmtId="168" formatCode="_(* #,##0.0000_);_(* \(#,##0.0000\);_(* &quot;-&quot;??_);_(@_)"/>
    <numFmt numFmtId="169" formatCode="_(* #,##0.00000_);_(* \(#,##0.00000\);_(* &quot;-&quot;??_);_(@_)"/>
    <numFmt numFmtId="170" formatCode="_(* #,##0.000000_);_(* \(#,##0.000000\);_(* &quot;-&quot;??_);_(@_)"/>
    <numFmt numFmtId="171" formatCode="_(* #,##0.000000_);_(* \(#,##0.000000\);_(* &quot;-&quot;??????_);_(@_)"/>
    <numFmt numFmtId="172" formatCode="0.000%"/>
    <numFmt numFmtId="173" formatCode="0.0000%"/>
    <numFmt numFmtId="174" formatCode="0.00000%"/>
    <numFmt numFmtId="175" formatCode="0.000000%"/>
    <numFmt numFmtId="176" formatCode="0.000"/>
    <numFmt numFmtId="177" formatCode="0.0"/>
    <numFmt numFmtId="178" formatCode="&quot;$&quot;#,##0"/>
    <numFmt numFmtId="179" formatCode="_(&quot;$&quot;* #,##0.0_);_(&quot;$&quot;* \(#,##0.0\);_(&quot;$&quot;* &quot;-&quot;??_);_(@_)"/>
    <numFmt numFmtId="180" formatCode="_(&quot;$&quot;* #,##0_);_(&quot;$&quot;* \(#,##0\);_(&quot;$&quot;* &quot;-&quot;??_);_(@_)"/>
    <numFmt numFmtId="181" formatCode="0.00000000000000%"/>
    <numFmt numFmtId="182" formatCode="0.0000000000000%"/>
    <numFmt numFmtId="183" formatCode="0.000000000000%"/>
    <numFmt numFmtId="184" formatCode="0.00000000000%"/>
    <numFmt numFmtId="185" formatCode="0.0000000000%"/>
    <numFmt numFmtId="186" formatCode="0.000000000%"/>
    <numFmt numFmtId="187" formatCode="0.00000000%"/>
    <numFmt numFmtId="188" formatCode="0.0000000%"/>
    <numFmt numFmtId="189" formatCode="&quot;$&quot;#,##0.0_);[Red]\(&quot;$&quot;#,##0.0\)"/>
  </numFmts>
  <fonts count="17">
    <font>
      <sz val="10"/>
      <name val="Arial"/>
      <family val="0"/>
    </font>
    <font>
      <sz val="10"/>
      <name val="Book Antiqua"/>
      <family val="1"/>
    </font>
    <font>
      <b/>
      <sz val="10"/>
      <name val="Book Antiqua"/>
      <family val="1"/>
    </font>
    <font>
      <sz val="10"/>
      <color indexed="10"/>
      <name val="Book Antiqua"/>
      <family val="1"/>
    </font>
    <font>
      <sz val="8.25"/>
      <name val="Book Antiqua"/>
      <family val="1"/>
    </font>
    <font>
      <sz val="5.25"/>
      <name val="Book Antiqua"/>
      <family val="1"/>
    </font>
    <font>
      <b/>
      <sz val="8.25"/>
      <name val="Book Antiqua"/>
      <family val="1"/>
    </font>
    <font>
      <sz val="8"/>
      <name val="Book Antiqua"/>
      <family val="1"/>
    </font>
    <font>
      <b/>
      <sz val="8"/>
      <name val="Book Antiqua"/>
      <family val="1"/>
    </font>
    <font>
      <vertAlign val="superscript"/>
      <sz val="10"/>
      <name val="Book Antiqua"/>
      <family val="1"/>
    </font>
    <font>
      <b/>
      <u val="single"/>
      <sz val="10"/>
      <name val="Book Antiqua"/>
      <family val="1"/>
    </font>
    <font>
      <i/>
      <sz val="10"/>
      <name val="Book Antiqua"/>
      <family val="1"/>
    </font>
    <font>
      <u val="single"/>
      <sz val="10"/>
      <name val="Book Antiqua"/>
      <family val="1"/>
    </font>
    <font>
      <sz val="10"/>
      <color indexed="48"/>
      <name val="Book Antiqua"/>
      <family val="1"/>
    </font>
    <font>
      <b/>
      <sz val="10"/>
      <color indexed="10"/>
      <name val="Book Antiqua"/>
      <family val="1"/>
    </font>
    <font>
      <b/>
      <i/>
      <sz val="10"/>
      <name val="Book Antiqua"/>
      <family val="1"/>
    </font>
    <font>
      <i/>
      <sz val="10"/>
      <color indexed="10"/>
      <name val="Book Antiqua"/>
      <family val="1"/>
    </font>
  </fonts>
  <fills count="3">
    <fill>
      <patternFill/>
    </fill>
    <fill>
      <patternFill patternType="gray125"/>
    </fill>
    <fill>
      <patternFill patternType="solid">
        <fgColor indexed="13"/>
        <bgColor indexed="64"/>
      </patternFill>
    </fill>
  </fills>
  <borders count="14">
    <border>
      <left/>
      <right/>
      <top/>
      <bottom/>
      <diagonal/>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left"/>
    </xf>
    <xf numFmtId="8" fontId="1" fillId="0" borderId="0" xfId="0" applyNumberFormat="1" applyFont="1" applyAlignment="1">
      <alignment/>
    </xf>
    <xf numFmtId="9" fontId="1" fillId="0" borderId="0" xfId="0" applyNumberFormat="1" applyFont="1" applyAlignment="1">
      <alignment/>
    </xf>
    <xf numFmtId="43" fontId="1" fillId="0" borderId="0" xfId="15" applyFont="1" applyAlignment="1">
      <alignment/>
    </xf>
    <xf numFmtId="166" fontId="1" fillId="0" borderId="0" xfId="15" applyNumberFormat="1" applyFont="1" applyAlignment="1">
      <alignment/>
    </xf>
    <xf numFmtId="0" fontId="2" fillId="0" borderId="1" xfId="0" applyFont="1" applyBorder="1" applyAlignment="1">
      <alignment horizontal="center"/>
    </xf>
    <xf numFmtId="8" fontId="1" fillId="0" borderId="0" xfId="15" applyNumberFormat="1" applyFont="1" applyBorder="1" applyAlignment="1">
      <alignment/>
    </xf>
    <xf numFmtId="0" fontId="1" fillId="0" borderId="0" xfId="0" applyFont="1" applyAlignment="1">
      <alignment horizontal="center"/>
    </xf>
    <xf numFmtId="10" fontId="1" fillId="0" borderId="0" xfId="19" applyNumberFormat="1" applyFont="1" applyAlignment="1">
      <alignment horizontal="center"/>
    </xf>
    <xf numFmtId="9" fontId="1" fillId="0" borderId="0" xfId="0" applyNumberFormat="1" applyFont="1" applyAlignment="1">
      <alignment horizontal="center"/>
    </xf>
    <xf numFmtId="166" fontId="3" fillId="0" borderId="0" xfId="15" applyNumberFormat="1" applyFont="1" applyAlignment="1">
      <alignment/>
    </xf>
    <xf numFmtId="166" fontId="1" fillId="0" borderId="1" xfId="15" applyNumberFormat="1" applyFont="1" applyBorder="1" applyAlignment="1">
      <alignment/>
    </xf>
    <xf numFmtId="6" fontId="1" fillId="0" borderId="0" xfId="0" applyNumberFormat="1" applyFont="1" applyAlignment="1">
      <alignment/>
    </xf>
    <xf numFmtId="49" fontId="1" fillId="0" borderId="0" xfId="0" applyNumberFormat="1" applyFont="1" applyAlignment="1">
      <alignment/>
    </xf>
    <xf numFmtId="166" fontId="1" fillId="0" borderId="1" xfId="15" applyNumberFormat="1" applyFont="1" applyBorder="1" applyAlignment="1">
      <alignment horizontal="center"/>
    </xf>
    <xf numFmtId="0" fontId="1" fillId="0" borderId="0" xfId="0" applyFont="1" applyAlignment="1">
      <alignment horizontal="right"/>
    </xf>
    <xf numFmtId="49" fontId="1" fillId="0" borderId="0" xfId="0" applyNumberFormat="1" applyFont="1" applyAlignment="1">
      <alignment horizontal="right"/>
    </xf>
    <xf numFmtId="9" fontId="1" fillId="0" borderId="0" xfId="0" applyNumberFormat="1" applyFont="1" applyAlignment="1">
      <alignment horizontal="left"/>
    </xf>
    <xf numFmtId="178" fontId="1" fillId="0" borderId="0" xfId="0" applyNumberFormat="1" applyFont="1" applyAlignment="1">
      <alignment/>
    </xf>
    <xf numFmtId="166" fontId="1" fillId="0" borderId="0" xfId="15" applyNumberFormat="1" applyFont="1" applyBorder="1" applyAlignment="1">
      <alignment horizontal="center"/>
    </xf>
    <xf numFmtId="0" fontId="2" fillId="0" borderId="0" xfId="0" applyFont="1" applyAlignment="1">
      <alignment horizontal="center"/>
    </xf>
    <xf numFmtId="0" fontId="1" fillId="0" borderId="1" xfId="0" applyFont="1" applyBorder="1" applyAlignment="1">
      <alignment/>
    </xf>
    <xf numFmtId="49" fontId="1" fillId="0" borderId="1" xfId="15" applyNumberFormat="1" applyFont="1" applyBorder="1" applyAlignment="1">
      <alignment horizontal="center"/>
    </xf>
    <xf numFmtId="180" fontId="1" fillId="0" borderId="0" xfId="17" applyNumberFormat="1" applyFont="1" applyAlignment="1">
      <alignment/>
    </xf>
    <xf numFmtId="0" fontId="1" fillId="0" borderId="1" xfId="0" applyFont="1" applyBorder="1" applyAlignment="1">
      <alignment horizontal="center"/>
    </xf>
    <xf numFmtId="0" fontId="1" fillId="0" borderId="1" xfId="0" applyFont="1" applyBorder="1" applyAlignment="1">
      <alignment horizontal="right"/>
    </xf>
    <xf numFmtId="166" fontId="1" fillId="0" borderId="0" xfId="0" applyNumberFormat="1" applyFont="1" applyAlignment="1">
      <alignment/>
    </xf>
    <xf numFmtId="43" fontId="1" fillId="0" borderId="0" xfId="0" applyNumberFormat="1" applyFont="1" applyAlignment="1">
      <alignment/>
    </xf>
    <xf numFmtId="9" fontId="3" fillId="0" borderId="0" xfId="0" applyNumberFormat="1" applyFont="1" applyAlignment="1">
      <alignment/>
    </xf>
    <xf numFmtId="1" fontId="1" fillId="0" borderId="1" xfId="0" applyNumberFormat="1" applyFont="1" applyBorder="1" applyAlignment="1">
      <alignment/>
    </xf>
    <xf numFmtId="164" fontId="1" fillId="0" borderId="0" xfId="19" applyNumberFormat="1" applyFont="1" applyAlignment="1">
      <alignment/>
    </xf>
    <xf numFmtId="164" fontId="1" fillId="0" borderId="0" xfId="19" applyNumberFormat="1" applyFont="1" applyAlignment="1">
      <alignment horizontal="center"/>
    </xf>
    <xf numFmtId="0" fontId="10" fillId="0" borderId="0" xfId="0" applyFont="1" applyAlignment="1">
      <alignment/>
    </xf>
    <xf numFmtId="164" fontId="3" fillId="0" borderId="0" xfId="19" applyNumberFormat="1" applyFont="1" applyAlignment="1">
      <alignment/>
    </xf>
    <xf numFmtId="0" fontId="11" fillId="0" borderId="0" xfId="0" applyFont="1" applyAlignment="1">
      <alignment/>
    </xf>
    <xf numFmtId="178" fontId="1" fillId="0" borderId="1" xfId="0" applyNumberFormat="1" applyFont="1" applyBorder="1" applyAlignment="1">
      <alignment horizontal="center"/>
    </xf>
    <xf numFmtId="166" fontId="1" fillId="0" borderId="0" xfId="15" applyNumberFormat="1" applyFont="1" applyBorder="1" applyAlignment="1">
      <alignment/>
    </xf>
    <xf numFmtId="0" fontId="11" fillId="0" borderId="0" xfId="0" applyFont="1" applyAlignment="1">
      <alignment horizontal="left"/>
    </xf>
    <xf numFmtId="8" fontId="11" fillId="0" borderId="0" xfId="0" applyNumberFormat="1" applyFont="1" applyAlignment="1">
      <alignment/>
    </xf>
    <xf numFmtId="166" fontId="2" fillId="0" borderId="0" xfId="15" applyNumberFormat="1" applyFont="1" applyBorder="1" applyAlignment="1">
      <alignment/>
    </xf>
    <xf numFmtId="0" fontId="11" fillId="0" borderId="1" xfId="0" applyFont="1" applyBorder="1" applyAlignment="1">
      <alignment/>
    </xf>
    <xf numFmtId="0" fontId="1" fillId="0" borderId="0" xfId="0" applyFont="1" applyBorder="1" applyAlignment="1">
      <alignment/>
    </xf>
    <xf numFmtId="0" fontId="2" fillId="0" borderId="0" xfId="0" applyFont="1" applyBorder="1" applyAlignment="1">
      <alignment horizontal="center"/>
    </xf>
    <xf numFmtId="10" fontId="1" fillId="0" borderId="0" xfId="19" applyNumberFormat="1" applyFont="1" applyAlignment="1">
      <alignment/>
    </xf>
    <xf numFmtId="166" fontId="1" fillId="0" borderId="1" xfId="0" applyNumberFormat="1" applyFont="1" applyBorder="1" applyAlignment="1">
      <alignment/>
    </xf>
    <xf numFmtId="168" fontId="2" fillId="0" borderId="0" xfId="15" applyNumberFormat="1" applyFont="1" applyAlignment="1">
      <alignment horizontal="center"/>
    </xf>
    <xf numFmtId="168" fontId="1" fillId="0" borderId="0" xfId="15" applyNumberFormat="1" applyFont="1" applyAlignment="1">
      <alignment/>
    </xf>
    <xf numFmtId="168" fontId="2" fillId="0" borderId="0" xfId="15" applyNumberFormat="1" applyFont="1" applyBorder="1" applyAlignment="1">
      <alignment horizontal="center"/>
    </xf>
    <xf numFmtId="168" fontId="0" fillId="0" borderId="0" xfId="15" applyNumberFormat="1" applyAlignment="1">
      <alignment/>
    </xf>
    <xf numFmtId="38" fontId="1" fillId="0" borderId="0" xfId="15" applyNumberFormat="1" applyFont="1" applyAlignment="1">
      <alignment/>
    </xf>
    <xf numFmtId="168" fontId="11" fillId="0" borderId="0" xfId="15" applyNumberFormat="1" applyFont="1" applyAlignment="1">
      <alignment/>
    </xf>
    <xf numFmtId="168" fontId="2" fillId="0" borderId="0" xfId="15" applyNumberFormat="1" applyFont="1" applyAlignment="1">
      <alignment horizontal="right"/>
    </xf>
    <xf numFmtId="8" fontId="1" fillId="0" borderId="1" xfId="0" applyNumberFormat="1" applyFont="1" applyBorder="1" applyAlignment="1">
      <alignment/>
    </xf>
    <xf numFmtId="0" fontId="10" fillId="0" borderId="0" xfId="0" applyFont="1" applyBorder="1" applyAlignment="1">
      <alignment/>
    </xf>
    <xf numFmtId="9" fontId="12" fillId="0" borderId="0" xfId="0" applyNumberFormat="1" applyFont="1" applyBorder="1" applyAlignment="1">
      <alignment/>
    </xf>
    <xf numFmtId="166" fontId="1" fillId="0" borderId="2" xfId="15" applyNumberFormat="1" applyFont="1" applyBorder="1" applyAlignment="1">
      <alignment/>
    </xf>
    <xf numFmtId="166" fontId="1" fillId="0" borderId="2" xfId="0" applyNumberFormat="1" applyFont="1" applyBorder="1" applyAlignment="1">
      <alignment/>
    </xf>
    <xf numFmtId="8" fontId="1" fillId="0" borderId="3" xfId="0" applyNumberFormat="1" applyFont="1" applyBorder="1" applyAlignment="1">
      <alignment/>
    </xf>
    <xf numFmtId="0" fontId="12" fillId="0" borderId="0" xfId="0" applyFont="1" applyBorder="1" applyAlignment="1">
      <alignment/>
    </xf>
    <xf numFmtId="8" fontId="12" fillId="0" borderId="0" xfId="0" applyNumberFormat="1" applyFont="1" applyBorder="1" applyAlignment="1">
      <alignment/>
    </xf>
    <xf numFmtId="0" fontId="7" fillId="0" borderId="0" xfId="0" applyFont="1" applyAlignment="1">
      <alignment/>
    </xf>
    <xf numFmtId="0" fontId="1" fillId="0" borderId="0" xfId="0" applyFont="1" applyBorder="1" applyAlignment="1">
      <alignment horizontal="center"/>
    </xf>
    <xf numFmtId="8" fontId="13" fillId="0" borderId="0" xfId="0" applyNumberFormat="1" applyFont="1" applyAlignment="1">
      <alignment/>
    </xf>
    <xf numFmtId="8" fontId="1" fillId="0" borderId="0" xfId="0" applyNumberFormat="1" applyFont="1" applyBorder="1" applyAlignment="1">
      <alignment/>
    </xf>
    <xf numFmtId="0" fontId="2" fillId="0" borderId="0" xfId="0" applyFont="1" applyBorder="1" applyAlignment="1">
      <alignment horizontal="left"/>
    </xf>
    <xf numFmtId="166" fontId="1" fillId="0" borderId="4" xfId="15" applyNumberFormat="1" applyFont="1" applyBorder="1" applyAlignment="1">
      <alignment/>
    </xf>
    <xf numFmtId="166" fontId="1" fillId="0" borderId="4" xfId="0" applyNumberFormat="1" applyFont="1" applyBorder="1" applyAlignment="1">
      <alignment/>
    </xf>
    <xf numFmtId="0" fontId="1" fillId="0" borderId="3" xfId="0" applyFont="1" applyBorder="1" applyAlignment="1">
      <alignment horizontal="center"/>
    </xf>
    <xf numFmtId="0" fontId="1" fillId="0" borderId="3" xfId="0" applyFont="1" applyBorder="1" applyAlignment="1">
      <alignment/>
    </xf>
    <xf numFmtId="0" fontId="1" fillId="0" borderId="2" xfId="0" applyFont="1" applyBorder="1" applyAlignment="1">
      <alignment horizontal="center"/>
    </xf>
    <xf numFmtId="0" fontId="1" fillId="0" borderId="2" xfId="0" applyFont="1" applyBorder="1" applyAlignment="1">
      <alignment/>
    </xf>
    <xf numFmtId="164" fontId="1" fillId="0" borderId="0" xfId="19" applyNumberFormat="1" applyFont="1" applyBorder="1" applyAlignment="1">
      <alignment horizontal="center" vertical="center"/>
    </xf>
    <xf numFmtId="164" fontId="14" fillId="0" borderId="0" xfId="19" applyNumberFormat="1" applyFont="1" applyBorder="1" applyAlignment="1">
      <alignment horizontal="center" vertical="center"/>
    </xf>
    <xf numFmtId="0" fontId="2" fillId="0" borderId="5" xfId="0" applyFont="1" applyBorder="1" applyAlignment="1">
      <alignment horizontal="center"/>
    </xf>
    <xf numFmtId="0" fontId="2" fillId="0" borderId="4" xfId="0" applyFont="1" applyBorder="1" applyAlignment="1">
      <alignment horizontal="center"/>
    </xf>
    <xf numFmtId="0" fontId="2" fillId="0" borderId="6" xfId="0" applyFont="1" applyBorder="1" applyAlignment="1">
      <alignment horizontal="center"/>
    </xf>
    <xf numFmtId="0" fontId="1" fillId="0" borderId="7" xfId="0" applyFont="1" applyBorder="1" applyAlignment="1">
      <alignment horizontal="center"/>
    </xf>
    <xf numFmtId="0" fontId="1" fillId="2" borderId="0" xfId="0" applyFont="1" applyFill="1" applyBorder="1" applyAlignment="1">
      <alignment horizontal="center"/>
    </xf>
    <xf numFmtId="164" fontId="1" fillId="2" borderId="8" xfId="19" applyNumberFormat="1" applyFont="1" applyFill="1" applyBorder="1" applyAlignment="1">
      <alignment/>
    </xf>
    <xf numFmtId="164" fontId="1" fillId="0" borderId="8" xfId="19" applyNumberFormat="1" applyFont="1" applyBorder="1" applyAlignment="1">
      <alignment/>
    </xf>
    <xf numFmtId="0" fontId="1" fillId="0" borderId="9" xfId="0" applyFont="1" applyBorder="1" applyAlignment="1">
      <alignment horizontal="center"/>
    </xf>
    <xf numFmtId="164" fontId="1" fillId="0" borderId="10" xfId="19" applyNumberFormat="1" applyFont="1" applyBorder="1" applyAlignment="1">
      <alignment/>
    </xf>
    <xf numFmtId="0" fontId="15" fillId="0" borderId="0" xfId="0" applyFont="1" applyAlignment="1">
      <alignment/>
    </xf>
    <xf numFmtId="180" fontId="2" fillId="0" borderId="11" xfId="17" applyNumberFormat="1" applyFont="1" applyBorder="1" applyAlignment="1">
      <alignment/>
    </xf>
    <xf numFmtId="6" fontId="2" fillId="0" borderId="11" xfId="0" applyNumberFormat="1" applyFont="1" applyBorder="1" applyAlignment="1">
      <alignment/>
    </xf>
    <xf numFmtId="10" fontId="2" fillId="0" borderId="11" xfId="19" applyNumberFormat="1" applyFont="1" applyBorder="1" applyAlignment="1">
      <alignment/>
    </xf>
    <xf numFmtId="10" fontId="2" fillId="0" borderId="11" xfId="19" applyNumberFormat="1" applyFont="1" applyBorder="1" applyAlignment="1">
      <alignment horizontal="center"/>
    </xf>
    <xf numFmtId="44" fontId="2" fillId="0" borderId="11" xfId="17" applyFont="1" applyBorder="1" applyAlignment="1">
      <alignment/>
    </xf>
    <xf numFmtId="40" fontId="1" fillId="0" borderId="0" xfId="0" applyNumberFormat="1" applyFont="1" applyAlignment="1">
      <alignment/>
    </xf>
    <xf numFmtId="40" fontId="1" fillId="0" borderId="0" xfId="0" applyNumberFormat="1" applyFont="1" applyBorder="1" applyAlignment="1">
      <alignment/>
    </xf>
    <xf numFmtId="40" fontId="1" fillId="0" borderId="1" xfId="0" applyNumberFormat="1" applyFont="1" applyBorder="1" applyAlignment="1">
      <alignment/>
    </xf>
    <xf numFmtId="8" fontId="1" fillId="0" borderId="4" xfId="0" applyNumberFormat="1" applyFont="1" applyBorder="1" applyAlignment="1">
      <alignment/>
    </xf>
    <xf numFmtId="164" fontId="16" fillId="0" borderId="0" xfId="19" applyNumberFormat="1" applyFont="1" applyAlignment="1">
      <alignment/>
    </xf>
    <xf numFmtId="164" fontId="11" fillId="0" borderId="0" xfId="19" applyNumberFormat="1" applyFont="1" applyAlignment="1">
      <alignment/>
    </xf>
    <xf numFmtId="40" fontId="13" fillId="0" borderId="0" xfId="0" applyNumberFormat="1" applyFont="1" applyAlignment="1">
      <alignment/>
    </xf>
    <xf numFmtId="43" fontId="1" fillId="0" borderId="1" xfId="0" applyNumberFormat="1" applyFont="1" applyBorder="1" applyAlignment="1">
      <alignment/>
    </xf>
    <xf numFmtId="9" fontId="1" fillId="0" borderId="1" xfId="19" applyFont="1" applyBorder="1" applyAlignment="1">
      <alignment horizontal="center"/>
    </xf>
    <xf numFmtId="10" fontId="1" fillId="0" borderId="1" xfId="0" applyNumberFormat="1" applyFont="1" applyBorder="1" applyAlignment="1">
      <alignment horizontal="center"/>
    </xf>
    <xf numFmtId="0" fontId="1" fillId="0" borderId="1" xfId="0" applyFont="1" applyBorder="1" applyAlignment="1">
      <alignment horizontal="center"/>
    </xf>
    <xf numFmtId="0" fontId="2" fillId="0" borderId="1" xfId="0" applyFont="1" applyBorder="1" applyAlignment="1">
      <alignment horizontal="center"/>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horizontal="right" vertical="center"/>
    </xf>
    <xf numFmtId="0" fontId="1" fillId="0" borderId="0" xfId="0" applyFont="1" applyAlignment="1">
      <alignment horizontal="center" vertical="center"/>
    </xf>
    <xf numFmtId="178" fontId="1" fillId="0" borderId="0" xfId="0" applyNumberFormat="1" applyFont="1" applyAlignment="1">
      <alignment horizontal="center" vertical="center"/>
    </xf>
    <xf numFmtId="164" fontId="1" fillId="0" borderId="0" xfId="19" applyNumberFormat="1" applyFont="1" applyBorder="1" applyAlignment="1">
      <alignment horizontal="center" vertical="center"/>
    </xf>
    <xf numFmtId="164" fontId="14" fillId="0" borderId="12" xfId="19" applyNumberFormat="1" applyFont="1" applyBorder="1" applyAlignment="1">
      <alignment horizontal="center" vertical="center"/>
    </xf>
    <xf numFmtId="164" fontId="14" fillId="0" borderId="13" xfId="19" applyNumberFormat="1"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IRR1</a:t>
            </a:r>
          </a:p>
        </c:rich>
      </c:tx>
      <c:layout>
        <c:manualLayout>
          <c:xMode val="factor"/>
          <c:yMode val="factor"/>
          <c:x val="-0.419"/>
          <c:y val="-0.0135"/>
        </c:manualLayout>
      </c:layout>
      <c:spPr>
        <a:noFill/>
        <a:ln>
          <a:noFill/>
        </a:ln>
      </c:spPr>
    </c:title>
    <c:plotArea>
      <c:layout>
        <c:manualLayout>
          <c:xMode val="edge"/>
          <c:yMode val="edge"/>
          <c:x val="0.07925"/>
          <c:y val="0.104"/>
          <c:w val="0.89625"/>
          <c:h val="0.851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circle"/>
            <c:size val="3"/>
            <c:spPr>
              <a:noFill/>
              <a:ln>
                <a:solidFill>
                  <a:srgbClr val="FF0000"/>
                </a:solidFill>
              </a:ln>
            </c:spPr>
          </c:marker>
          <c:xVal>
            <c:numRef>
              <c:f>'#1'!$C$22:$C$26</c:f>
              <c:numCache>
                <c:ptCount val="5"/>
                <c:pt idx="0">
                  <c:v>0</c:v>
                </c:pt>
                <c:pt idx="1">
                  <c:v>0</c:v>
                </c:pt>
                <c:pt idx="2">
                  <c:v>0</c:v>
                </c:pt>
                <c:pt idx="3">
                  <c:v>0</c:v>
                </c:pt>
                <c:pt idx="4">
                  <c:v>0</c:v>
                </c:pt>
              </c:numCache>
            </c:numRef>
          </c:xVal>
          <c:yVal>
            <c:numRef>
              <c:f>'#1'!$D$22:$D$26</c:f>
              <c:numCache>
                <c:ptCount val="5"/>
                <c:pt idx="0">
                  <c:v>0</c:v>
                </c:pt>
                <c:pt idx="1">
                  <c:v>0</c:v>
                </c:pt>
                <c:pt idx="2">
                  <c:v>0</c:v>
                </c:pt>
                <c:pt idx="3">
                  <c:v>0</c:v>
                </c:pt>
                <c:pt idx="4">
                  <c:v>0</c:v>
                </c:pt>
              </c:numCache>
            </c:numRef>
          </c:yVal>
          <c:smooth val="1"/>
        </c:ser>
        <c:axId val="50508036"/>
        <c:axId val="51919141"/>
      </c:scatterChart>
      <c:valAx>
        <c:axId val="50508036"/>
        <c:scaling>
          <c:orientation val="minMax"/>
        </c:scaling>
        <c:axPos val="b"/>
        <c:title>
          <c:tx>
            <c:rich>
              <a:bodyPr vert="horz" rot="0" anchor="ctr"/>
              <a:lstStyle/>
              <a:p>
                <a:pPr algn="ctr">
                  <a:defRPr/>
                </a:pPr>
                <a:r>
                  <a:rPr lang="en-US" cap="none" sz="825" b="1" i="0" u="none" baseline="0"/>
                  <a:t>r</a:t>
                </a:r>
              </a:p>
            </c:rich>
          </c:tx>
          <c:layout>
            <c:manualLayout>
              <c:xMode val="factor"/>
              <c:yMode val="factor"/>
              <c:x val="0.093"/>
              <c:y val="0.14"/>
            </c:manualLayout>
          </c:layout>
          <c:overlay val="0"/>
          <c:spPr>
            <a:noFill/>
            <a:ln>
              <a:noFill/>
            </a:ln>
          </c:spPr>
        </c:title>
        <c:delete val="0"/>
        <c:numFmt formatCode="General" sourceLinked="1"/>
        <c:majorTickMark val="out"/>
        <c:minorTickMark val="none"/>
        <c:tickLblPos val="nextTo"/>
        <c:txPr>
          <a:bodyPr/>
          <a:lstStyle/>
          <a:p>
            <a:pPr>
              <a:defRPr lang="en-US" cap="none" sz="525" b="0" i="0" u="none" baseline="0"/>
            </a:pPr>
          </a:p>
        </c:txPr>
        <c:crossAx val="51919141"/>
        <c:crossesAt val="0"/>
        <c:crossBetween val="midCat"/>
        <c:dispUnits/>
        <c:majorUnit val="0.05"/>
      </c:valAx>
      <c:valAx>
        <c:axId val="51919141"/>
        <c:scaling>
          <c:orientation val="minMax"/>
          <c:max val="45000"/>
          <c:min val="-15000"/>
        </c:scaling>
        <c:axPos val="l"/>
        <c:title>
          <c:tx>
            <c:rich>
              <a:bodyPr vert="horz" rot="0" anchor="ctr"/>
              <a:lstStyle/>
              <a:p>
                <a:pPr algn="ctr">
                  <a:defRPr/>
                </a:pPr>
                <a:r>
                  <a:rPr lang="en-US" cap="none" sz="825" b="1" i="0" u="none" baseline="0"/>
                  <a:t>NPV</a:t>
                </a:r>
              </a:p>
            </c:rich>
          </c:tx>
          <c:layout>
            <c:manualLayout>
              <c:xMode val="factor"/>
              <c:yMode val="factor"/>
              <c:x val="0.12575"/>
              <c:y val="0.14325"/>
            </c:manualLayout>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txPr>
          <a:bodyPr/>
          <a:lstStyle/>
          <a:p>
            <a:pPr>
              <a:defRPr lang="en-US" cap="none" sz="525" b="0" i="0" u="none" baseline="0"/>
            </a:pPr>
          </a:p>
        </c:txPr>
        <c:crossAx val="50508036"/>
        <c:crossesAt val="-1.932"/>
        <c:crossBetween val="midCat"/>
        <c:dispUnits/>
        <c:majorUnit val="8000"/>
      </c:valAx>
      <c:spPr>
        <a:solidFill>
          <a:srgbClr val="FFFFFF"/>
        </a:solidFill>
        <a:ln w="12700">
          <a:solidFill>
            <a:srgbClr val="FFFFFF"/>
          </a:solidFill>
        </a:ln>
      </c:spPr>
    </c:plotArea>
    <c:plotVisOnly val="1"/>
    <c:dispBlanksAs val="gap"/>
    <c:showDLblsOverMax val="0"/>
  </c:chart>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t>IRR2</a:t>
            </a:r>
          </a:p>
        </c:rich>
      </c:tx>
      <c:layout>
        <c:manualLayout>
          <c:xMode val="factor"/>
          <c:yMode val="factor"/>
          <c:x val="-0.41075"/>
          <c:y val="-0.01975"/>
        </c:manualLayout>
      </c:layout>
      <c:spPr>
        <a:noFill/>
        <a:ln>
          <a:noFill/>
        </a:ln>
      </c:spPr>
    </c:title>
    <c:plotArea>
      <c:layout>
        <c:manualLayout>
          <c:xMode val="edge"/>
          <c:yMode val="edge"/>
          <c:x val="0.01475"/>
          <c:y val="0.1355"/>
          <c:w val="0.96075"/>
          <c:h val="0.8055"/>
        </c:manualLayout>
      </c:layout>
      <c:scatterChart>
        <c:scatterStyle val="smooth"/>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circle"/>
            <c:size val="3"/>
            <c:spPr>
              <a:noFill/>
              <a:ln>
                <a:solidFill>
                  <a:srgbClr val="FF0000"/>
                </a:solidFill>
              </a:ln>
            </c:spPr>
          </c:marker>
          <c:xVal>
            <c:numRef>
              <c:f>'#1'!$F$22:$F$26</c:f>
              <c:numCache>
                <c:ptCount val="5"/>
                <c:pt idx="0">
                  <c:v>0</c:v>
                </c:pt>
                <c:pt idx="1">
                  <c:v>0</c:v>
                </c:pt>
                <c:pt idx="2">
                  <c:v>0</c:v>
                </c:pt>
                <c:pt idx="3">
                  <c:v>0</c:v>
                </c:pt>
                <c:pt idx="4">
                  <c:v>0</c:v>
                </c:pt>
              </c:numCache>
            </c:numRef>
          </c:xVal>
          <c:yVal>
            <c:numRef>
              <c:f>'#1'!$G$22:$G$26</c:f>
              <c:numCache>
                <c:ptCount val="5"/>
                <c:pt idx="0">
                  <c:v>0</c:v>
                </c:pt>
                <c:pt idx="1">
                  <c:v>0</c:v>
                </c:pt>
                <c:pt idx="2">
                  <c:v>0</c:v>
                </c:pt>
                <c:pt idx="3">
                  <c:v>0</c:v>
                </c:pt>
                <c:pt idx="4">
                  <c:v>0</c:v>
                </c:pt>
              </c:numCache>
            </c:numRef>
          </c:yVal>
          <c:smooth val="1"/>
        </c:ser>
        <c:axId val="64619086"/>
        <c:axId val="44700863"/>
      </c:scatterChart>
      <c:valAx>
        <c:axId val="64619086"/>
        <c:scaling>
          <c:orientation val="minMax"/>
          <c:max val="0.065"/>
          <c:min val="0.04"/>
        </c:scaling>
        <c:axPos val="b"/>
        <c:title>
          <c:tx>
            <c:rich>
              <a:bodyPr vert="horz" rot="0" anchor="ctr"/>
              <a:lstStyle/>
              <a:p>
                <a:pPr algn="ctr">
                  <a:defRPr/>
                </a:pPr>
                <a:r>
                  <a:rPr lang="en-US" cap="none" sz="800" b="1" i="0" u="none" baseline="0"/>
                  <a:t>r</a:t>
                </a:r>
              </a:p>
            </c:rich>
          </c:tx>
          <c:layout>
            <c:manualLayout>
              <c:xMode val="factor"/>
              <c:yMode val="factor"/>
              <c:x val="0.15225"/>
              <c:y val="0.133"/>
            </c:manualLayout>
          </c:layout>
          <c:overlay val="0"/>
          <c:spPr>
            <a:noFill/>
            <a:ln>
              <a:noFill/>
            </a:ln>
          </c:spPr>
        </c:title>
        <c:delete val="0"/>
        <c:numFmt formatCode="General" sourceLinked="1"/>
        <c:majorTickMark val="out"/>
        <c:minorTickMark val="none"/>
        <c:tickLblPos val="nextTo"/>
        <c:crossAx val="44700863"/>
        <c:crosses val="autoZero"/>
        <c:crossBetween val="midCat"/>
        <c:dispUnits/>
      </c:valAx>
      <c:valAx>
        <c:axId val="44700863"/>
        <c:scaling>
          <c:orientation val="minMax"/>
        </c:scaling>
        <c:axPos val="l"/>
        <c:title>
          <c:tx>
            <c:rich>
              <a:bodyPr vert="horz" rot="0"/>
              <a:lstStyle/>
              <a:p>
                <a:pPr algn="ctr">
                  <a:defRPr/>
                </a:pPr>
                <a:r>
                  <a:rPr lang="en-US" cap="none" sz="800" b="1" i="0" u="none" baseline="0"/>
                  <a:t>NPV</a:t>
                </a:r>
              </a:p>
            </c:rich>
          </c:tx>
          <c:layout>
            <c:manualLayout>
              <c:xMode val="factor"/>
              <c:yMode val="factor"/>
              <c:x val="0.13425"/>
              <c:y val="0.16175"/>
            </c:manualLayout>
          </c:layout>
          <c:overlay val="0"/>
          <c:spPr>
            <a:noFill/>
            <a:ln>
              <a:noFill/>
            </a:ln>
          </c:spPr>
        </c:title>
        <c:majorGridlines>
          <c:spPr>
            <a:ln w="3175">
              <a:solidFill>
                <a:srgbClr val="FFFFFF"/>
              </a:solidFill>
            </a:ln>
          </c:spPr>
        </c:majorGridlines>
        <c:delete val="0"/>
        <c:numFmt formatCode="General" sourceLinked="1"/>
        <c:majorTickMark val="out"/>
        <c:minorTickMark val="none"/>
        <c:tickLblPos val="nextTo"/>
        <c:crossAx val="64619086"/>
        <c:crossesAt val="0.0524"/>
        <c:crossBetween val="midCat"/>
        <c:dispUnits/>
        <c:majorUnit val="200"/>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28</xdr:row>
      <xdr:rowOff>9525</xdr:rowOff>
    </xdr:from>
    <xdr:to>
      <xdr:col>11</xdr:col>
      <xdr:colOff>476250</xdr:colOff>
      <xdr:row>40</xdr:row>
      <xdr:rowOff>133350</xdr:rowOff>
    </xdr:to>
    <xdr:graphicFrame>
      <xdr:nvGraphicFramePr>
        <xdr:cNvPr id="1" name="Chart 16"/>
        <xdr:cNvGraphicFramePr/>
      </xdr:nvGraphicFramePr>
      <xdr:xfrm>
        <a:off x="1333500" y="4791075"/>
        <a:ext cx="3981450" cy="2066925"/>
      </xdr:xfrm>
      <a:graphic>
        <a:graphicData uri="http://schemas.openxmlformats.org/drawingml/2006/chart">
          <c:chart xmlns:c="http://schemas.openxmlformats.org/drawingml/2006/chart" r:id="rId1"/>
        </a:graphicData>
      </a:graphic>
    </xdr:graphicFrame>
    <xdr:clientData/>
  </xdr:twoCellAnchor>
  <xdr:twoCellAnchor>
    <xdr:from>
      <xdr:col>2</xdr:col>
      <xdr:colOff>295275</xdr:colOff>
      <xdr:row>42</xdr:row>
      <xdr:rowOff>9525</xdr:rowOff>
    </xdr:from>
    <xdr:to>
      <xdr:col>11</xdr:col>
      <xdr:colOff>485775</xdr:colOff>
      <xdr:row>53</xdr:row>
      <xdr:rowOff>123825</xdr:rowOff>
    </xdr:to>
    <xdr:graphicFrame>
      <xdr:nvGraphicFramePr>
        <xdr:cNvPr id="2" name="Chart 17"/>
        <xdr:cNvGraphicFramePr/>
      </xdr:nvGraphicFramePr>
      <xdr:xfrm>
        <a:off x="1343025" y="7058025"/>
        <a:ext cx="3981450" cy="1895475"/>
      </xdr:xfrm>
      <a:graphic>
        <a:graphicData uri="http://schemas.openxmlformats.org/drawingml/2006/chart">
          <c:chart xmlns:c="http://schemas.openxmlformats.org/drawingml/2006/chart" r:id="rId2"/>
        </a:graphicData>
      </a:graphic>
    </xdr:graphicFrame>
    <xdr:clientData/>
  </xdr:twoCellAnchor>
  <xdr:twoCellAnchor>
    <xdr:from>
      <xdr:col>3</xdr:col>
      <xdr:colOff>495300</xdr:colOff>
      <xdr:row>6</xdr:row>
      <xdr:rowOff>66675</xdr:rowOff>
    </xdr:from>
    <xdr:to>
      <xdr:col>12</xdr:col>
      <xdr:colOff>476250</xdr:colOff>
      <xdr:row>18</xdr:row>
      <xdr:rowOff>28575</xdr:rowOff>
    </xdr:to>
    <xdr:sp>
      <xdr:nvSpPr>
        <xdr:cNvPr id="3" name="Rectangle 18"/>
        <xdr:cNvSpPr>
          <a:spLocks/>
        </xdr:cNvSpPr>
      </xdr:nvSpPr>
      <xdr:spPr>
        <a:xfrm>
          <a:off x="2124075" y="1152525"/>
          <a:ext cx="3800475" cy="2038350"/>
        </a:xfrm>
        <a:prstGeom prst="rect">
          <a:avLst/>
        </a:prstGeom>
        <a:solidFill>
          <a:srgbClr val="FFFFFF"/>
        </a:solidFill>
        <a:ln w="9525" cmpd="sng">
          <a:noFill/>
        </a:ln>
      </xdr:spPr>
      <xdr:txBody>
        <a:bodyPr vertOverflow="clip" wrap="square"/>
        <a:p>
          <a:pPr algn="l">
            <a:defRPr/>
          </a:pPr>
          <a:r>
            <a:rPr lang="en-US" cap="none" sz="1000" b="0" i="0" u="none" baseline="0"/>
            <a:t>Since the cash flow stream changes sign twice over the 10 periods, we have two IRRs, -193.1962% and 5.24%.  
For all rates below 5.24% and greater than - 99%, the project has a positive NPV. 
For all rates greater than 5.24%, and less  than -193.1962%, the project has negative NPV.
So, at 14%, the project is not attractive. It has a negative NPV of - $2,143.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12</xdr:row>
      <xdr:rowOff>123825</xdr:rowOff>
    </xdr:from>
    <xdr:to>
      <xdr:col>10</xdr:col>
      <xdr:colOff>533400</xdr:colOff>
      <xdr:row>17</xdr:row>
      <xdr:rowOff>28575</xdr:rowOff>
    </xdr:to>
    <xdr:sp>
      <xdr:nvSpPr>
        <xdr:cNvPr id="1" name="Rectangle 1"/>
        <xdr:cNvSpPr>
          <a:spLocks/>
        </xdr:cNvSpPr>
      </xdr:nvSpPr>
      <xdr:spPr>
        <a:xfrm>
          <a:off x="142875" y="2190750"/>
          <a:ext cx="6372225" cy="714375"/>
        </a:xfrm>
        <a:prstGeom prst="rect">
          <a:avLst/>
        </a:prstGeom>
        <a:solidFill>
          <a:srgbClr val="FFFFFF"/>
        </a:solidFill>
        <a:ln w="9525" cmpd="sng">
          <a:noFill/>
        </a:ln>
      </xdr:spPr>
      <xdr:txBody>
        <a:bodyPr vertOverflow="clip" wrap="square"/>
        <a:p>
          <a:pPr algn="l">
            <a:defRPr/>
          </a:pPr>
          <a:r>
            <a:rPr lang="en-US" cap="none" sz="1000" b="0" i="0" u="none" baseline="0"/>
            <a:t>If the building can be used as a warehouse now, it is worth $1,000,000, which is the PV of all future cash flows generated by the warehouse.   However, this value is reduced by (1)  the lost of rents for the first year, (2) clean up cost, and (3) sales commission. Both rents and clean up costs are incurred evenly throughout the 1st year.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2</xdr:row>
      <xdr:rowOff>0</xdr:rowOff>
    </xdr:from>
    <xdr:to>
      <xdr:col>8</xdr:col>
      <xdr:colOff>381000</xdr:colOff>
      <xdr:row>11</xdr:row>
      <xdr:rowOff>19050</xdr:rowOff>
    </xdr:to>
    <xdr:sp>
      <xdr:nvSpPr>
        <xdr:cNvPr id="1" name="Rectangle 1"/>
        <xdr:cNvSpPr>
          <a:spLocks/>
        </xdr:cNvSpPr>
      </xdr:nvSpPr>
      <xdr:spPr>
        <a:xfrm>
          <a:off x="323850" y="333375"/>
          <a:ext cx="4933950" cy="1485900"/>
        </a:xfrm>
        <a:prstGeom prst="rect">
          <a:avLst/>
        </a:prstGeom>
        <a:solidFill>
          <a:srgbClr val="FFFFFF"/>
        </a:solidFill>
        <a:ln w="9525" cmpd="sng">
          <a:noFill/>
        </a:ln>
      </xdr:spPr>
      <xdr:txBody>
        <a:bodyPr vertOverflow="clip" wrap="square"/>
        <a:p>
          <a:pPr algn="l">
            <a:defRPr/>
          </a:pPr>
          <a:r>
            <a:rPr lang="en-US" cap="none" sz="1000" b="0" i="0" u="none" baseline="0"/>
            <a:t>Although new models are much more fuel efficient than the older ones, it does not mean old models cannot make money.  Old planes are cheaper than new ones.  This affects their relative fuel inefficiency.  Because older planes have different useful life than that of new ones, we should use </a:t>
          </a:r>
          <a:r>
            <a:rPr lang="en-US" cap="none" sz="1000" b="1" i="0" u="sng" baseline="0"/>
            <a:t>annual equivalent costs</a:t>
          </a:r>
          <a:r>
            <a:rPr lang="en-US" cap="none" sz="1000" b="0" i="0" u="none" baseline="0"/>
            <a:t> , rather than fuel cost alone, to compare these two alternatives.   The prices of both types of planes should be set such that there is an equilibrium between these two choices.   And a company can be able to make money operating either type of plane.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0</xdr:rowOff>
    </xdr:from>
    <xdr:to>
      <xdr:col>17</xdr:col>
      <xdr:colOff>581025</xdr:colOff>
      <xdr:row>44</xdr:row>
      <xdr:rowOff>47625</xdr:rowOff>
    </xdr:to>
    <xdr:sp>
      <xdr:nvSpPr>
        <xdr:cNvPr id="1" name="Rectangle 1"/>
        <xdr:cNvSpPr>
          <a:spLocks/>
        </xdr:cNvSpPr>
      </xdr:nvSpPr>
      <xdr:spPr>
        <a:xfrm>
          <a:off x="285750" y="171450"/>
          <a:ext cx="8820150" cy="7019925"/>
        </a:xfrm>
        <a:prstGeom prst="rect">
          <a:avLst/>
        </a:prstGeom>
        <a:solidFill>
          <a:srgbClr val="FFFFFF"/>
        </a:solidFill>
        <a:ln w="9525" cmpd="sng">
          <a:noFill/>
        </a:ln>
      </xdr:spPr>
      <xdr:txBody>
        <a:bodyPr vertOverflow="clip" wrap="square"/>
        <a:p>
          <a:pPr algn="l">
            <a:defRPr/>
          </a:pPr>
          <a:r>
            <a:rPr lang="en-US" cap="none" sz="1000" b="0" i="0" u="none" baseline="0"/>
            <a:t>Which entries make sense, Which do not? And why?
Projections must be internally consistent.  If all cash flows are projected in real terms, a real opportunity cost of capital should be used to discount the cash flows. 
</a:t>
          </a:r>
          <a:r>
            <a:rPr lang="en-US" cap="none" sz="1000" b="0" i="1" u="none" baseline="0"/>
            <a:t>1. Capital Expenditure:</a:t>
          </a:r>
          <a:r>
            <a:rPr lang="en-US" cap="none" sz="1000" b="0" i="0" u="none" baseline="0"/>
            <a:t>
The opportunity cost of existing building and land should be included.  If spare warehouse space is useful for other projects in the future, some of these costs could be allocated to these future uses.  $8 million for new machinery and $2.4 for warehouse extension make sense if all these are used only for the new project. Also, the salvage value of these fixed assets should be estimated and included in the cash flow projection.
</a:t>
          </a:r>
          <a:r>
            <a:rPr lang="en-US" cap="none" sz="1000" b="0" i="1" u="none" baseline="0"/>
            <a:t>2.  Research and Development - </a:t>
          </a:r>
          <a:r>
            <a:rPr lang="en-US" cap="none" sz="1000" b="0" i="0" u="none" baseline="0"/>
            <a:t>Sunk costs, should be excluded.</a:t>
          </a:r>
          <a:r>
            <a:rPr lang="en-US" cap="none" sz="1000" b="0" i="1" u="none" baseline="0"/>
            <a:t>
3.  Working Capital 
</a:t>
          </a:r>
          <a:r>
            <a:rPr lang="en-US" cap="none" sz="1000" b="0" i="0" u="none" baseline="0"/>
            <a:t>Is this one time increase in inventory for the new product enough?  Will inventory decrease or increase along the product life cycle in future years? What about receivables and payables?  A liquidation value should be assigned to working capital at the end of the project period.
</a:t>
          </a:r>
          <a:r>
            <a:rPr lang="en-US" cap="none" sz="1000" b="0" i="1" u="none" baseline="0"/>
            <a:t>4.  Revenue
</a:t>
          </a:r>
          <a:r>
            <a:rPr lang="en-US" cap="none" sz="1000" b="0" i="0" u="none" baseline="0"/>
            <a:t>The projection looks a bit aggressive since the new type of electric motor will give Reliable Electric a 2-year lead on its competitors, but not forever.  So, Reliable should expect a slower growth in revenue after 2 years, i.e. a reduction in unit price or quantity sold when competitors catch up.
</a:t>
          </a:r>
          <a:r>
            <a:rPr lang="en-US" cap="none" sz="1000" b="0" i="1" u="none" baseline="0"/>
            <a:t>5. Operating costs
</a:t>
          </a:r>
          <a:r>
            <a:rPr lang="en-US" cap="none" sz="1000" b="0" i="0" u="none" baseline="0"/>
            <a:t>Are there any economies of scale to be achieved when production volume goes up?  If so, the constant operating costs per unit are not very reasonable. Also, some costs usually increase more than inflation, such as wages.
</a:t>
          </a:r>
          <a:r>
            <a:rPr lang="en-US" cap="none" sz="1000" b="0" i="1" u="none" baseline="0"/>
            <a:t>6. Overhead - </a:t>
          </a:r>
          <a:r>
            <a:rPr lang="en-US" cap="none" sz="1000" b="0" i="0" u="none" baseline="0"/>
            <a:t>Only incremental overhead should be included.</a:t>
          </a:r>
          <a:r>
            <a:rPr lang="en-US" cap="none" sz="1000" b="0" i="1" u="none" baseline="0"/>
            <a:t>
7. Depreciation
</a:t>
          </a:r>
          <a:r>
            <a:rPr lang="en-US" cap="none" sz="1000" b="0" i="0" u="none" baseline="0"/>
            <a:t>Straight line depreciation is usually used for financial reporting purposes.</a:t>
          </a:r>
          <a:r>
            <a:rPr lang="en-US" cap="none" sz="1000" b="0" i="1" u="none" baseline="0"/>
            <a:t> </a:t>
          </a:r>
          <a:r>
            <a:rPr lang="en-US" cap="none" sz="1000" b="0" i="0" u="none" baseline="0"/>
            <a:t>For cash flow projection, ACRS depreciation schedule should be used because depreciation tax shield is calculated based on this schedule.  Deprecation itself is a  non-cash item, therefore should be added back to EBIT.  In addition, no inflation adjustment allowed for depreciation expenses, so the real value of depreciation tax shield is reduced by inflation.
</a:t>
          </a:r>
          <a:r>
            <a:rPr lang="en-US" cap="none" sz="1000" b="0" i="1" u="none" baseline="0"/>
            <a:t>8. Interest
</a:t>
          </a:r>
          <a:r>
            <a:rPr lang="en-US" cap="none" sz="1000" b="0" i="0" u="none" baseline="0"/>
            <a:t>Financing cost should not be included in the cash flow projection to value an investment.  The cost of financing is being taken care of in the cost of capital.  So, interest expense should not be included.
</a:t>
          </a:r>
          <a:r>
            <a:rPr lang="en-US" cap="none" sz="1000" b="0" i="1" u="none" baseline="0"/>
            <a:t>
9. Income:  </a:t>
          </a:r>
          <a:r>
            <a:rPr lang="en-US" cap="none" sz="1000" b="0" i="0" u="none" baseline="0"/>
            <a:t>Earnings Before Interest and Tax (EBIT) should be used because Income includes some inappropriate items discussed above.
</a:t>
          </a:r>
          <a:r>
            <a:rPr lang="en-US" cap="none" sz="1000" b="0" i="1" u="none" baseline="0"/>
            <a:t>10. Tax: </a:t>
          </a:r>
          <a:r>
            <a:rPr lang="en-US" cap="none" sz="1000" b="0" i="0" u="none" baseline="0"/>
            <a:t>Tax should be applied to EBIT.  If Reliable has other income, tax losses can be taken immediately.  
</a:t>
          </a:r>
          <a:r>
            <a:rPr lang="en-US" cap="none" sz="1000" b="0" i="1" u="none" baseline="0"/>
            <a:t>11. Net cash flow</a:t>
          </a:r>
          <a:r>
            <a:rPr lang="en-US" cap="none" sz="1000" b="0" i="0" u="none" baseline="0"/>
            <a:t>= EBIAT + depreciation - increase in working capital - capex 
</a:t>
          </a:r>
          <a:r>
            <a:rPr lang="en-US" cap="none" sz="1000" b="0" i="1" u="none" baseline="0"/>
            <a:t>12. Opportunity Cost of Capital: </a:t>
          </a:r>
          <a:r>
            <a:rPr lang="en-US" cap="none" sz="1000" b="0" i="0" u="none" baseline="0"/>
            <a:t>Depends on project risk.  Higher than borrowing cost.</a:t>
          </a:r>
        </a:p>
      </xdr:txBody>
    </xdr:sp>
    <xdr:clientData/>
  </xdr:twoCellAnchor>
  <xdr:twoCellAnchor>
    <xdr:from>
      <xdr:col>1</xdr:col>
      <xdr:colOff>28575</xdr:colOff>
      <xdr:row>45</xdr:row>
      <xdr:rowOff>76200</xdr:rowOff>
    </xdr:from>
    <xdr:to>
      <xdr:col>16</xdr:col>
      <xdr:colOff>142875</xdr:colOff>
      <xdr:row>53</xdr:row>
      <xdr:rowOff>57150</xdr:rowOff>
    </xdr:to>
    <xdr:sp>
      <xdr:nvSpPr>
        <xdr:cNvPr id="2" name="Rectangle 2"/>
        <xdr:cNvSpPr>
          <a:spLocks/>
        </xdr:cNvSpPr>
      </xdr:nvSpPr>
      <xdr:spPr>
        <a:xfrm>
          <a:off x="247650" y="7391400"/>
          <a:ext cx="7810500" cy="1285875"/>
        </a:xfrm>
        <a:prstGeom prst="rect">
          <a:avLst/>
        </a:prstGeom>
        <a:solidFill>
          <a:srgbClr val="FFFFFF"/>
        </a:solidFill>
        <a:ln w="9525" cmpd="sng">
          <a:noFill/>
        </a:ln>
      </xdr:spPr>
      <xdr:txBody>
        <a:bodyPr vertOverflow="clip" wrap="square"/>
        <a:p>
          <a:pPr algn="l">
            <a:defRPr/>
          </a:pPr>
          <a:r>
            <a:rPr lang="en-US" cap="none" sz="1000" b="0" i="0" u="none" baseline="0"/>
            <a:t>Additional Information needed:
1. Other working capital items besides inventory, such as A/Rs and A/Ps.
2. Opportunity cost of the existing factory building and potential use of warehouse
3. Information about competitors, market prospect for the new product
4. More detailed information on all variable costs associated with the project
5. Ability and timing to use the tax shield
6. Inflation
7.  Opportunity cost of capital </a:t>
          </a:r>
        </a:p>
      </xdr:txBody>
    </xdr:sp>
    <xdr:clientData/>
  </xdr:twoCellAnchor>
  <xdr:twoCellAnchor>
    <xdr:from>
      <xdr:col>1</xdr:col>
      <xdr:colOff>28575</xdr:colOff>
      <xdr:row>55</xdr:row>
      <xdr:rowOff>152400</xdr:rowOff>
    </xdr:from>
    <xdr:to>
      <xdr:col>17</xdr:col>
      <xdr:colOff>219075</xdr:colOff>
      <xdr:row>70</xdr:row>
      <xdr:rowOff>133350</xdr:rowOff>
    </xdr:to>
    <xdr:sp>
      <xdr:nvSpPr>
        <xdr:cNvPr id="3" name="Rectangle 4"/>
        <xdr:cNvSpPr>
          <a:spLocks/>
        </xdr:cNvSpPr>
      </xdr:nvSpPr>
      <xdr:spPr>
        <a:xfrm>
          <a:off x="247650" y="9115425"/>
          <a:ext cx="8496300" cy="2428875"/>
        </a:xfrm>
        <a:prstGeom prst="rect">
          <a:avLst/>
        </a:prstGeom>
        <a:solidFill>
          <a:srgbClr val="FFFFFF"/>
        </a:solidFill>
        <a:ln w="9525" cmpd="sng">
          <a:noFill/>
        </a:ln>
      </xdr:spPr>
      <xdr:txBody>
        <a:bodyPr vertOverflow="clip" wrap="square"/>
        <a:p>
          <a:pPr algn="l">
            <a:defRPr/>
          </a:pPr>
          <a:r>
            <a:rPr lang="en-US" cap="none" sz="1000" b="0" i="0" u="sng" baseline="0"/>
            <a:t>The following example is based on these assumptions:</a:t>
          </a:r>
          <a:r>
            <a:rPr lang="en-US" cap="none" sz="1000" b="0" i="0" u="none" baseline="0"/>
            <a:t>
</a:t>
          </a:r>
          <a:r>
            <a:rPr lang="en-US" cap="none" sz="1000" b="0" i="1" u="none" baseline="0"/>
            <a:t>1. Inflation: </a:t>
          </a:r>
          <a:r>
            <a:rPr lang="en-US" cap="none" sz="1000" b="0" i="0" u="none" baseline="0"/>
            <a:t> 10% per year, given.
2. </a:t>
          </a:r>
          <a:r>
            <a:rPr lang="en-US" cap="none" sz="1000" b="0" i="1" u="none" baseline="0"/>
            <a:t>Capital Expenditures: </a:t>
          </a:r>
          <a:r>
            <a:rPr lang="en-US" cap="none" sz="1000" b="0" i="0" u="none" baseline="0"/>
            <a:t>$8 million for new machinery, $5 million for market value of factory, $2.4 million for warehouse extension.  Fixed assets have a salvage value of $3 million </a:t>
          </a:r>
          <a:r>
            <a:rPr lang="en-US" cap="none" sz="1000" b="0" i="0" u="sng" baseline="0"/>
            <a:t>in real terms</a:t>
          </a:r>
          <a:r>
            <a:rPr lang="en-US" cap="none" sz="1000" b="0" i="0" u="none" baseline="0"/>
            <a:t> and are fully depreciated by 2005 with an ending book value of $0. The gain is taxed at 35%.
</a:t>
          </a:r>
          <a:r>
            <a:rPr lang="en-US" cap="none" sz="1000" b="0" i="1" u="none" baseline="0"/>
            <a:t>3.  Working Capital:  </a:t>
          </a:r>
          <a:r>
            <a:rPr lang="en-US" cap="none" sz="1000" b="0" i="0" u="none" baseline="0"/>
            <a:t>We assume inventory in year t  is 10% of revenue of year t+1, (A/R - A/P) in year t is 5% of revenue in year t.  
4</a:t>
          </a:r>
          <a:r>
            <a:rPr lang="en-US" cap="none" sz="1000" b="0" i="1" u="none" baseline="0"/>
            <a:t>.  Revenue: </a:t>
          </a:r>
          <a:r>
            <a:rPr lang="en-US" cap="none" sz="1000" b="0" i="0" u="none" baseline="0"/>
            <a:t> Sales of 2000 units in 1996, 4000 in 1997, 10,000 from 1998 to 2005. Unit price starts from $4000 in 1996, declining by 25% </a:t>
          </a:r>
          <a:r>
            <a:rPr lang="en-US" cap="none" sz="1000" b="0" i="0" u="sng" baseline="0"/>
            <a:t>in real terms</a:t>
          </a:r>
          <a:r>
            <a:rPr lang="en-US" cap="none" sz="1000" b="0" i="0" u="none" baseline="0"/>
            <a:t> when competition comes in 1998. 
5</a:t>
          </a:r>
          <a:r>
            <a:rPr lang="en-US" cap="none" sz="1000" b="0" i="1" u="none" baseline="0"/>
            <a:t>. Operating costs: </a:t>
          </a:r>
          <a:r>
            <a:rPr lang="en-US" cap="none" sz="1000" b="0" i="0" u="none" baseline="0"/>
            <a:t>Assume operating cost per unit starts from $2500 per unit, declines to $2000 per unit in 1997 and stays the same till 2005, </a:t>
          </a:r>
          <a:r>
            <a:rPr lang="en-US" cap="none" sz="1000" b="0" i="0" u="sng" baseline="0"/>
            <a:t>in real terms</a:t>
          </a:r>
          <a:r>
            <a:rPr lang="en-US" cap="none" sz="1000" b="0" i="0" u="none" baseline="0"/>
            <a:t>.</a:t>
          </a:r>
          <a:r>
            <a:rPr lang="en-US" cap="none" sz="1000" b="0" i="1" u="none" baseline="0"/>
            <a:t>
</a:t>
          </a:r>
          <a:r>
            <a:rPr lang="en-US" cap="none" sz="1000" b="0" i="0" u="none" baseline="0"/>
            <a:t>6</a:t>
          </a:r>
          <a:r>
            <a:rPr lang="en-US" cap="none" sz="1000" b="0" i="1" u="none" baseline="0"/>
            <a:t>. Overhead:  10% of operating costs
7. Depreciation:  </a:t>
          </a:r>
          <a:r>
            <a:rPr lang="en-US" cap="none" sz="1000" b="0" i="0" u="none" baseline="0"/>
            <a:t>Based on 5-year ACRS and 35% tax rate. </a:t>
          </a:r>
          <a:r>
            <a:rPr lang="en-US" cap="none" sz="1000" b="0" i="1" u="none" baseline="0"/>
            <a:t> Please refer to table 6-5 on  p.123 in BM for the detailed depreciation schedule.
8. Tax: 35%,
9. Opportunity cost of capital: </a:t>
          </a:r>
          <a:r>
            <a:rPr lang="en-US" cap="none" sz="1000" b="0" i="0" u="none" baseline="0"/>
            <a:t>20%, higher than the 15% borrowing cost.</a:t>
          </a:r>
          <a:r>
            <a:rPr lang="en-US" cap="none" sz="1000" b="0" i="1" u="none" baseline="0"/>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514350</xdr:colOff>
      <xdr:row>64</xdr:row>
      <xdr:rowOff>0</xdr:rowOff>
    </xdr:from>
    <xdr:to>
      <xdr:col>1</xdr:col>
      <xdr:colOff>2009775</xdr:colOff>
      <xdr:row>64</xdr:row>
      <xdr:rowOff>0</xdr:rowOff>
    </xdr:to>
    <xdr:sp>
      <xdr:nvSpPr>
        <xdr:cNvPr id="1" name="Line 29"/>
        <xdr:cNvSpPr>
          <a:spLocks/>
        </xdr:cNvSpPr>
      </xdr:nvSpPr>
      <xdr:spPr>
        <a:xfrm>
          <a:off x="647700" y="11239500"/>
          <a:ext cx="1495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12</xdr:row>
      <xdr:rowOff>123825</xdr:rowOff>
    </xdr:from>
    <xdr:to>
      <xdr:col>10</xdr:col>
      <xdr:colOff>523875</xdr:colOff>
      <xdr:row>26</xdr:row>
      <xdr:rowOff>114300</xdr:rowOff>
    </xdr:to>
    <xdr:sp>
      <xdr:nvSpPr>
        <xdr:cNvPr id="1" name="Rectangle 1"/>
        <xdr:cNvSpPr>
          <a:spLocks/>
        </xdr:cNvSpPr>
      </xdr:nvSpPr>
      <xdr:spPr>
        <a:xfrm>
          <a:off x="228600" y="2171700"/>
          <a:ext cx="6019800" cy="2257425"/>
        </a:xfrm>
        <a:prstGeom prst="rect">
          <a:avLst/>
        </a:prstGeom>
        <a:solidFill>
          <a:srgbClr val="FFFFFF"/>
        </a:solidFill>
        <a:ln w="9525" cmpd="sng">
          <a:noFill/>
        </a:ln>
      </xdr:spPr>
      <xdr:txBody>
        <a:bodyPr vertOverflow="clip" wrap="square"/>
        <a:p>
          <a:pPr algn="l">
            <a:defRPr/>
          </a:pPr>
          <a:r>
            <a:rPr lang="en-US" cap="none" sz="1000" b="0" i="0" u="none" baseline="0"/>
            <a:t>When funds are limited, we must pick the projects that offer the highest NPV per dollar of initial outlay, which is measured by the Profitability Index.
                             </a:t>
          </a:r>
          <a:r>
            <a:rPr lang="en-US" cap="none" sz="1000" b="1" i="0" u="none" baseline="0"/>
            <a:t>Profitability Index = NPV of Project/Investment
</a:t>
          </a:r>
          <a:r>
            <a:rPr lang="en-US" cap="none" sz="1000" b="0" i="0" u="none" baseline="0"/>
            <a:t>(For detailed discussion on this topic, please refer to BM p. 101.)
We should choose the projects with the highest PI, which are 1,6, 3,4, given the company budget limit.  By taking on these four projects, BP's value is increased by $186,000.
Without the limit, BP can take on all positive NPV projects.  As a result, BP's value can be increased by an additional  $55,000.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28"/>
  <sheetViews>
    <sheetView workbookViewId="0" topLeftCell="A4">
      <selection activeCell="O24" sqref="O24"/>
    </sheetView>
  </sheetViews>
  <sheetFormatPr defaultColWidth="9.140625" defaultRowHeight="12.75"/>
  <cols>
    <col min="1" max="1" width="9.140625" style="3" customWidth="1"/>
    <col min="2" max="2" width="6.57421875" style="1" bestFit="1" customWidth="1"/>
    <col min="3" max="3" width="8.7109375" style="1" customWidth="1"/>
    <col min="4" max="4" width="8.57421875" style="1" bestFit="1" customWidth="1"/>
    <col min="5" max="5" width="2.140625" style="1" customWidth="1"/>
    <col min="6" max="6" width="6.00390625" style="1" bestFit="1" customWidth="1"/>
    <col min="7" max="7" width="8.57421875" style="1" bestFit="1" customWidth="1"/>
    <col min="8" max="8" width="2.57421875" style="1" customWidth="1"/>
    <col min="9" max="9" width="4.57421875" style="1" bestFit="1" customWidth="1"/>
    <col min="10" max="10" width="6.57421875" style="1" bestFit="1" customWidth="1"/>
    <col min="11" max="13" width="9.140625" style="1" customWidth="1"/>
    <col min="14" max="14" width="2.421875" style="1" customWidth="1"/>
    <col min="15" max="15" width="8.140625" style="49" bestFit="1" customWidth="1"/>
    <col min="16" max="16" width="8.140625" style="1" bestFit="1" customWidth="1"/>
    <col min="17" max="17" width="2.00390625" style="1" customWidth="1"/>
    <col min="18" max="18" width="8.140625" style="49" bestFit="1" customWidth="1"/>
    <col min="19" max="19" width="8.140625" style="7" bestFit="1" customWidth="1"/>
    <col min="20" max="20" width="2.421875" style="1" customWidth="1"/>
    <col min="21" max="21" width="9.140625" style="49" customWidth="1"/>
    <col min="22" max="22" width="9.140625" style="1" customWidth="1"/>
    <col min="23" max="23" width="1.8515625" style="1" customWidth="1"/>
    <col min="24" max="24" width="9.140625" style="1" customWidth="1"/>
    <col min="25" max="25" width="8.140625" style="1" bestFit="1" customWidth="1"/>
    <col min="26" max="16384" width="9.140625" style="1" customWidth="1"/>
  </cols>
  <sheetData>
    <row r="1" spans="1:17" ht="15">
      <c r="A1" s="103" t="s">
        <v>0</v>
      </c>
      <c r="B1" s="103"/>
      <c r="C1" s="103"/>
      <c r="D1" s="103"/>
      <c r="E1" s="103"/>
      <c r="F1" s="103"/>
      <c r="G1" s="103"/>
      <c r="H1" s="103"/>
      <c r="I1" s="103"/>
      <c r="J1" s="103"/>
      <c r="K1" s="103"/>
      <c r="L1" s="103"/>
      <c r="M1" s="103"/>
      <c r="N1" s="23"/>
      <c r="O1" s="48"/>
      <c r="P1" s="23"/>
      <c r="Q1" s="23"/>
    </row>
    <row r="2" spans="1:13" ht="15">
      <c r="A2" s="103" t="s">
        <v>1</v>
      </c>
      <c r="B2" s="103"/>
      <c r="C2" s="103"/>
      <c r="D2" s="103"/>
      <c r="E2" s="103"/>
      <c r="F2" s="103"/>
      <c r="G2" s="103"/>
      <c r="H2" s="103"/>
      <c r="I2" s="103"/>
      <c r="J2" s="103"/>
      <c r="K2" s="103"/>
      <c r="L2" s="103"/>
      <c r="M2" s="103"/>
    </row>
    <row r="3" spans="1:17" ht="15">
      <c r="A3" s="103" t="s">
        <v>2</v>
      </c>
      <c r="B3" s="103"/>
      <c r="C3" s="103"/>
      <c r="D3" s="103"/>
      <c r="E3" s="103"/>
      <c r="F3" s="103"/>
      <c r="G3" s="103"/>
      <c r="H3" s="103"/>
      <c r="I3" s="103"/>
      <c r="J3" s="103"/>
      <c r="K3" s="103"/>
      <c r="L3" s="103"/>
      <c r="M3" s="103"/>
      <c r="N3" s="23"/>
      <c r="O3" s="48"/>
      <c r="P3" s="23"/>
      <c r="Q3" s="23"/>
    </row>
    <row r="4" spans="1:17" ht="15">
      <c r="A4" s="102" t="s">
        <v>4</v>
      </c>
      <c r="B4" s="102"/>
      <c r="C4" s="102"/>
      <c r="D4" s="102"/>
      <c r="E4" s="102"/>
      <c r="F4" s="102"/>
      <c r="G4" s="102"/>
      <c r="H4" s="102"/>
      <c r="I4" s="102"/>
      <c r="J4" s="102"/>
      <c r="K4" s="102"/>
      <c r="L4" s="102"/>
      <c r="M4" s="102"/>
      <c r="N4" s="45"/>
      <c r="O4" s="50"/>
      <c r="P4" s="45"/>
      <c r="Q4" s="45"/>
    </row>
    <row r="7" spans="1:25" ht="15">
      <c r="A7" s="3">
        <v>1</v>
      </c>
      <c r="B7" s="102" t="s">
        <v>5</v>
      </c>
      <c r="C7" s="102"/>
      <c r="O7" s="99">
        <f>C22</f>
        <v>-1.85</v>
      </c>
      <c r="P7" s="99"/>
      <c r="R7" s="99">
        <f>C23</f>
        <v>-1.9</v>
      </c>
      <c r="S7" s="99"/>
      <c r="T7" s="29"/>
      <c r="U7" s="99">
        <f>C25</f>
        <v>-1.95</v>
      </c>
      <c r="V7" s="99"/>
      <c r="X7" s="100">
        <f>C26</f>
        <v>-2</v>
      </c>
      <c r="Y7" s="101"/>
    </row>
    <row r="8" spans="2:25" ht="13.5">
      <c r="B8" s="1">
        <v>0</v>
      </c>
      <c r="C8" s="13">
        <v>-21750</v>
      </c>
      <c r="D8"/>
      <c r="O8" s="49">
        <f>1/(1+$C$22)^B8</f>
        <v>1</v>
      </c>
      <c r="P8" s="29">
        <f>O8*C8</f>
        <v>-21750</v>
      </c>
      <c r="R8" s="49">
        <f>1/(1+$C$23)^B8</f>
        <v>1</v>
      </c>
      <c r="S8" s="7">
        <f aca="true" t="shared" si="0" ref="S8:S18">C8*R8</f>
        <v>-21750</v>
      </c>
      <c r="U8" s="49">
        <f>1/(1+$C$25)^B8</f>
        <v>1</v>
      </c>
      <c r="V8" s="29">
        <f>U8*C8</f>
        <v>-21750</v>
      </c>
      <c r="X8" s="49">
        <f>1/(1+$C$26)^B8</f>
        <v>1</v>
      </c>
      <c r="Y8" s="7">
        <f>X8*C8</f>
        <v>-21750</v>
      </c>
    </row>
    <row r="9" spans="2:25" ht="13.5">
      <c r="B9" s="1">
        <v>1</v>
      </c>
      <c r="C9" s="7">
        <v>7861</v>
      </c>
      <c r="O9" s="49">
        <f aca="true" t="shared" si="1" ref="O9:O18">1/(1+$C$22)^B9</f>
        <v>-1.176470588235294</v>
      </c>
      <c r="P9" s="29">
        <f aca="true" t="shared" si="2" ref="P9:P18">O9*C9</f>
        <v>-9248.235294117645</v>
      </c>
      <c r="R9" s="49">
        <f aca="true" t="shared" si="3" ref="R9:R18">1/(1+$C$23)^B9</f>
        <v>-1.1111111111111112</v>
      </c>
      <c r="S9" s="7">
        <f t="shared" si="0"/>
        <v>-8734.444444444445</v>
      </c>
      <c r="U9" s="49">
        <f aca="true" t="shared" si="4" ref="U9:U18">1/(1+$C$25)^B9</f>
        <v>-1.0526315789473684</v>
      </c>
      <c r="V9" s="29">
        <f aca="true" t="shared" si="5" ref="V9:V18">U9*C9</f>
        <v>-8274.736842105263</v>
      </c>
      <c r="X9" s="49">
        <f aca="true" t="shared" si="6" ref="X9:X18">1/(1+$C$26)^B9</f>
        <v>-1</v>
      </c>
      <c r="Y9" s="7">
        <f aca="true" t="shared" si="7" ref="Y9:Y18">X9*C9</f>
        <v>-7861</v>
      </c>
    </row>
    <row r="10" spans="2:25" ht="13.5">
      <c r="B10" s="1">
        <v>2</v>
      </c>
      <c r="C10" s="7">
        <v>8317</v>
      </c>
      <c r="O10" s="49">
        <f t="shared" si="1"/>
        <v>1.3840830449826986</v>
      </c>
      <c r="P10" s="29">
        <f t="shared" si="2"/>
        <v>11511.418685121105</v>
      </c>
      <c r="R10" s="49">
        <f t="shared" si="3"/>
        <v>1.234567901234568</v>
      </c>
      <c r="S10" s="7">
        <f t="shared" si="0"/>
        <v>10267.901234567902</v>
      </c>
      <c r="U10" s="49">
        <f t="shared" si="4"/>
        <v>1.10803324099723</v>
      </c>
      <c r="V10" s="29">
        <f t="shared" si="5"/>
        <v>9215.512465373962</v>
      </c>
      <c r="X10" s="49">
        <f t="shared" si="6"/>
        <v>1</v>
      </c>
      <c r="Y10" s="7">
        <f t="shared" si="7"/>
        <v>8317</v>
      </c>
    </row>
    <row r="11" spans="2:25" ht="13.5">
      <c r="B11" s="1">
        <v>3</v>
      </c>
      <c r="C11" s="7">
        <v>7188</v>
      </c>
      <c r="O11" s="49">
        <f t="shared" si="1"/>
        <v>-1.6283329940972926</v>
      </c>
      <c r="P11" s="29">
        <f t="shared" si="2"/>
        <v>-11704.457561571338</v>
      </c>
      <c r="R11" s="49">
        <f t="shared" si="3"/>
        <v>-1.3717421124828537</v>
      </c>
      <c r="S11" s="7">
        <f t="shared" si="0"/>
        <v>-9860.082304526752</v>
      </c>
      <c r="U11" s="49">
        <f t="shared" si="4"/>
        <v>-1.1663507799970843</v>
      </c>
      <c r="V11" s="29">
        <f t="shared" si="5"/>
        <v>-8383.729406619042</v>
      </c>
      <c r="X11" s="49">
        <f t="shared" si="6"/>
        <v>-1</v>
      </c>
      <c r="Y11" s="7">
        <f t="shared" si="7"/>
        <v>-7188</v>
      </c>
    </row>
    <row r="12" spans="2:25" ht="13.5">
      <c r="B12" s="1">
        <v>4</v>
      </c>
      <c r="C12" s="7">
        <v>6736</v>
      </c>
      <c r="O12" s="49">
        <f t="shared" si="1"/>
        <v>1.915685875408579</v>
      </c>
      <c r="P12" s="29">
        <f t="shared" si="2"/>
        <v>12904.060056752189</v>
      </c>
      <c r="R12" s="49">
        <f t="shared" si="3"/>
        <v>1.5241579027587266</v>
      </c>
      <c r="S12" s="7">
        <f t="shared" si="0"/>
        <v>10266.727632982782</v>
      </c>
      <c r="U12" s="49">
        <f t="shared" si="4"/>
        <v>1.2277376631548254</v>
      </c>
      <c r="V12" s="29">
        <f t="shared" si="5"/>
        <v>8270.040899010904</v>
      </c>
      <c r="X12" s="49">
        <f t="shared" si="6"/>
        <v>1</v>
      </c>
      <c r="Y12" s="7">
        <f t="shared" si="7"/>
        <v>6736</v>
      </c>
    </row>
    <row r="13" spans="2:25" ht="13.5">
      <c r="B13" s="1">
        <v>5</v>
      </c>
      <c r="C13" s="7">
        <v>6231</v>
      </c>
      <c r="O13" s="49">
        <f t="shared" si="1"/>
        <v>-2.2537480887159753</v>
      </c>
      <c r="P13" s="29">
        <f t="shared" si="2"/>
        <v>-14043.104340789243</v>
      </c>
      <c r="R13" s="49">
        <f t="shared" si="3"/>
        <v>-1.6935087808430298</v>
      </c>
      <c r="S13" s="7">
        <f t="shared" si="0"/>
        <v>-10552.25321343292</v>
      </c>
      <c r="U13" s="49">
        <f t="shared" si="4"/>
        <v>-1.2923554348998163</v>
      </c>
      <c r="V13" s="29">
        <f t="shared" si="5"/>
        <v>-8052.666714860756</v>
      </c>
      <c r="X13" s="49">
        <f t="shared" si="6"/>
        <v>-1</v>
      </c>
      <c r="Y13" s="7">
        <f t="shared" si="7"/>
        <v>-6231</v>
      </c>
    </row>
    <row r="14" spans="2:25" ht="13.5">
      <c r="B14" s="1">
        <v>6</v>
      </c>
      <c r="C14" s="13">
        <v>-5340</v>
      </c>
      <c r="O14" s="49">
        <f t="shared" si="1"/>
        <v>2.6514683396658527</v>
      </c>
      <c r="P14" s="29">
        <f t="shared" si="2"/>
        <v>-14158.840933815654</v>
      </c>
      <c r="R14" s="49">
        <f t="shared" si="3"/>
        <v>1.881676423158922</v>
      </c>
      <c r="S14" s="7">
        <f t="shared" si="0"/>
        <v>-10048.152099668643</v>
      </c>
      <c r="U14" s="49">
        <f t="shared" si="4"/>
        <v>1.3603741419998068</v>
      </c>
      <c r="V14" s="29">
        <f t="shared" si="5"/>
        <v>-7264.397918278968</v>
      </c>
      <c r="X14" s="49">
        <f t="shared" si="6"/>
        <v>1</v>
      </c>
      <c r="Y14" s="7">
        <f t="shared" si="7"/>
        <v>-5340</v>
      </c>
    </row>
    <row r="15" spans="2:25" ht="13.5">
      <c r="B15" s="1">
        <v>7</v>
      </c>
      <c r="C15" s="13">
        <v>-5972</v>
      </c>
      <c r="O15" s="49">
        <f t="shared" si="1"/>
        <v>-3.1193745172539447</v>
      </c>
      <c r="P15" s="29">
        <f t="shared" si="2"/>
        <v>18628.904617040556</v>
      </c>
      <c r="R15" s="49">
        <f t="shared" si="3"/>
        <v>-2.0907515812876913</v>
      </c>
      <c r="S15" s="7">
        <f t="shared" si="0"/>
        <v>12485.968443450092</v>
      </c>
      <c r="U15" s="49">
        <f t="shared" si="4"/>
        <v>-1.431972781052428</v>
      </c>
      <c r="V15" s="29">
        <f t="shared" si="5"/>
        <v>8551.7414484451</v>
      </c>
      <c r="X15" s="49">
        <f t="shared" si="6"/>
        <v>-1</v>
      </c>
      <c r="Y15" s="7">
        <f t="shared" si="7"/>
        <v>5972</v>
      </c>
    </row>
    <row r="16" spans="2:25" ht="13.5">
      <c r="B16" s="1">
        <v>8</v>
      </c>
      <c r="C16" s="13">
        <v>-6678</v>
      </c>
      <c r="O16" s="49">
        <f t="shared" si="1"/>
        <v>3.6698523732399337</v>
      </c>
      <c r="P16" s="29">
        <f t="shared" si="2"/>
        <v>-24507.27414849628</v>
      </c>
      <c r="R16" s="49">
        <f t="shared" si="3"/>
        <v>2.3230573125418794</v>
      </c>
      <c r="S16" s="7">
        <f t="shared" si="0"/>
        <v>-15513.376733154671</v>
      </c>
      <c r="U16" s="49">
        <f t="shared" si="4"/>
        <v>1.5073397695288715</v>
      </c>
      <c r="V16" s="29">
        <f t="shared" si="5"/>
        <v>-10066.014980913804</v>
      </c>
      <c r="X16" s="49">
        <f t="shared" si="6"/>
        <v>1</v>
      </c>
      <c r="Y16" s="7">
        <f t="shared" si="7"/>
        <v>-6678</v>
      </c>
    </row>
    <row r="17" spans="2:25" ht="13.5">
      <c r="B17" s="1">
        <v>9</v>
      </c>
      <c r="C17" s="13">
        <v>-7468</v>
      </c>
      <c r="O17" s="49">
        <f t="shared" si="1"/>
        <v>-4.317473380282275</v>
      </c>
      <c r="P17" s="29">
        <f t="shared" si="2"/>
        <v>32242.891203948027</v>
      </c>
      <c r="R17" s="49">
        <f t="shared" si="3"/>
        <v>-2.5811747917131997</v>
      </c>
      <c r="S17" s="7">
        <f t="shared" si="0"/>
        <v>19276.213344514177</v>
      </c>
      <c r="U17" s="49">
        <f t="shared" si="4"/>
        <v>-1.5866734416093387</v>
      </c>
      <c r="V17" s="29">
        <f t="shared" si="5"/>
        <v>11849.277261938541</v>
      </c>
      <c r="X17" s="49">
        <f t="shared" si="6"/>
        <v>-1</v>
      </c>
      <c r="Y17" s="7">
        <f t="shared" si="7"/>
        <v>7468</v>
      </c>
    </row>
    <row r="18" spans="2:25" ht="13.5">
      <c r="B18" s="1">
        <v>10</v>
      </c>
      <c r="C18" s="14">
        <v>12578</v>
      </c>
      <c r="O18" s="49">
        <f t="shared" si="1"/>
        <v>5.0793804473909105</v>
      </c>
      <c r="P18" s="47">
        <f t="shared" si="2"/>
        <v>63888.44726728287</v>
      </c>
      <c r="R18" s="49">
        <f t="shared" si="3"/>
        <v>2.867971990792445</v>
      </c>
      <c r="S18" s="14">
        <f t="shared" si="0"/>
        <v>36073.35170018737</v>
      </c>
      <c r="U18" s="49">
        <f t="shared" si="4"/>
        <v>1.6701825701150932</v>
      </c>
      <c r="V18" s="47">
        <f t="shared" si="5"/>
        <v>21007.556366907644</v>
      </c>
      <c r="X18" s="49">
        <f t="shared" si="6"/>
        <v>1</v>
      </c>
      <c r="Y18" s="14">
        <f t="shared" si="7"/>
        <v>12578</v>
      </c>
    </row>
    <row r="19" spans="2:25" ht="15">
      <c r="B19" s="1" t="s">
        <v>7</v>
      </c>
      <c r="C19" s="9">
        <f>NPV(C24,C8:C18)</f>
        <v>0.0034874025867301147</v>
      </c>
      <c r="O19" s="54" t="s">
        <v>6</v>
      </c>
      <c r="P19" s="7">
        <f>SUM(P8:P18)</f>
        <v>43763.80955135459</v>
      </c>
      <c r="R19" s="54" t="s">
        <v>6</v>
      </c>
      <c r="S19" s="7">
        <f>SUM(S8:S18)</f>
        <v>11911.853560474887</v>
      </c>
      <c r="U19" s="54" t="s">
        <v>6</v>
      </c>
      <c r="V19" s="7">
        <f>SUM(V8:V18)</f>
        <v>-4897.4174211016725</v>
      </c>
      <c r="X19" s="54" t="s">
        <v>6</v>
      </c>
      <c r="Y19" s="7">
        <f>SUM(Y8:Y18)</f>
        <v>-13977</v>
      </c>
    </row>
    <row r="20" ht="6.75" customHeight="1">
      <c r="C20" s="9"/>
    </row>
    <row r="21" spans="2:10" ht="15">
      <c r="B21" s="10"/>
      <c r="C21" s="8" t="s">
        <v>8</v>
      </c>
      <c r="D21" s="8" t="s">
        <v>114</v>
      </c>
      <c r="E21" s="2"/>
      <c r="F21" s="8" t="s">
        <v>9</v>
      </c>
      <c r="G21" s="8" t="s">
        <v>6</v>
      </c>
      <c r="H21" s="2"/>
      <c r="I21" s="8" t="s">
        <v>10</v>
      </c>
      <c r="J21" s="8" t="s">
        <v>6</v>
      </c>
    </row>
    <row r="22" spans="2:15" ht="15">
      <c r="B22" s="10"/>
      <c r="C22" s="11">
        <v>-1.85</v>
      </c>
      <c r="D22" s="15">
        <f>P19</f>
        <v>43763.80955135459</v>
      </c>
      <c r="F22" s="11">
        <v>0.04</v>
      </c>
      <c r="G22" s="15">
        <f>NPV(F22,$C$8:$C$18)</f>
        <v>365.3393906596254</v>
      </c>
      <c r="I22" s="12">
        <v>0.14</v>
      </c>
      <c r="J22" s="52">
        <f>NPV(I22,$C$8:$C$18)</f>
        <v>-2142.7383160827244</v>
      </c>
      <c r="O22" s="53" t="s">
        <v>115</v>
      </c>
    </row>
    <row r="23" spans="2:10" ht="13.5">
      <c r="B23" s="10"/>
      <c r="C23" s="11">
        <v>-1.9</v>
      </c>
      <c r="D23" s="15">
        <f>S19</f>
        <v>11911.853560474887</v>
      </c>
      <c r="F23" s="46">
        <v>0.045</v>
      </c>
      <c r="G23" s="15">
        <f>NPV(F23,$C$8:$C$18)</f>
        <v>215.59690203118092</v>
      </c>
      <c r="I23" s="5"/>
      <c r="J23" s="6"/>
    </row>
    <row r="24" spans="3:9" ht="15">
      <c r="C24" s="89">
        <v>-1.9319618</v>
      </c>
      <c r="D24" s="15">
        <f>NPV(C24,$C$8:$C$18)</f>
        <v>0.0034874025867301147</v>
      </c>
      <c r="F24" s="88">
        <f>IRR(C8:C18)</f>
        <v>0.05239400973215095</v>
      </c>
      <c r="G24" s="15">
        <f>NPV(F24,$C$8:$C$18)</f>
        <v>6.049505084156505E-12</v>
      </c>
      <c r="I24" s="7"/>
    </row>
    <row r="25" spans="3:7" ht="13.5">
      <c r="C25" s="11">
        <v>-1.95</v>
      </c>
      <c r="D25" s="15">
        <f>V19</f>
        <v>-4897.4174211016725</v>
      </c>
      <c r="F25" s="46">
        <v>0.055</v>
      </c>
      <c r="G25" s="15">
        <f>NPV(F25,$C$8:$C$18)</f>
        <v>-74.40321065085007</v>
      </c>
    </row>
    <row r="26" spans="3:7" ht="13.5">
      <c r="C26" s="11">
        <v>-2</v>
      </c>
      <c r="D26" s="15">
        <f>Y19</f>
        <v>-13977</v>
      </c>
      <c r="F26" s="46">
        <v>0.06</v>
      </c>
      <c r="G26" s="15">
        <f>NPV(F26,$C$8:$C$18)</f>
        <v>-214.9512088129017</v>
      </c>
    </row>
    <row r="27" spans="3:7" ht="7.5" customHeight="1">
      <c r="C27" s="11"/>
      <c r="D27" s="4"/>
      <c r="G27" s="4"/>
    </row>
    <row r="28" spans="15:21" ht="12.75">
      <c r="O28" s="51"/>
      <c r="R28" s="51"/>
      <c r="U28" s="51"/>
    </row>
  </sheetData>
  <mergeCells count="9">
    <mergeCell ref="B7:C7"/>
    <mergeCell ref="A1:M1"/>
    <mergeCell ref="A2:M2"/>
    <mergeCell ref="A3:M3"/>
    <mergeCell ref="A4:M4"/>
    <mergeCell ref="O7:P7"/>
    <mergeCell ref="R7:S7"/>
    <mergeCell ref="U7:V7"/>
    <mergeCell ref="X7:Y7"/>
  </mergeCells>
  <printOptions/>
  <pageMargins left="0.68" right="0.6" top="0.43" bottom="0.43" header="0.18" footer="0"/>
  <pageSetup horizontalDpi="600" verticalDpi="600" orientation="portrait" r:id="rId2"/>
  <headerFooter alignWithMargins="0">
    <oddHeader>&amp;C&amp;"Book Antiqua,Regular"&amp;8&amp;A</oddHeader>
    <oddFooter>&amp;L&amp;"Book Antiqua,Regular"&amp;8&amp;F&amp;R&amp;"Book Antiqua,Regular"&amp;8&amp;T,&amp;D,&amp;P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36"/>
  <sheetViews>
    <sheetView zoomScale="75" zoomScaleNormal="75" workbookViewId="0" topLeftCell="A13">
      <selection activeCell="E27" sqref="E27"/>
    </sheetView>
  </sheetViews>
  <sheetFormatPr defaultColWidth="9.140625" defaultRowHeight="12.75"/>
  <cols>
    <col min="1" max="1" width="9.140625" style="1" customWidth="1"/>
    <col min="2" max="2" width="5.8515625" style="1" customWidth="1"/>
    <col min="3" max="3" width="10.421875" style="1" bestFit="1" customWidth="1"/>
    <col min="4" max="4" width="5.57421875" style="1" customWidth="1"/>
    <col min="5" max="5" width="11.00390625" style="1" bestFit="1" customWidth="1"/>
    <col min="6" max="9" width="9.140625" style="1" customWidth="1"/>
    <col min="10" max="10" width="11.140625" style="1" bestFit="1" customWidth="1"/>
    <col min="11" max="16384" width="9.140625" style="1" customWidth="1"/>
  </cols>
  <sheetData>
    <row r="1" ht="13.5">
      <c r="A1" s="3" t="s">
        <v>36</v>
      </c>
    </row>
    <row r="2" ht="13.5">
      <c r="A2" s="3"/>
    </row>
    <row r="3" ht="13.5">
      <c r="A3" s="3"/>
    </row>
    <row r="4" spans="1:5" ht="13.5">
      <c r="A4" s="3" t="s">
        <v>21</v>
      </c>
      <c r="E4" s="15">
        <v>1000000</v>
      </c>
    </row>
    <row r="5" ht="13.5">
      <c r="A5" s="3"/>
    </row>
    <row r="6" spans="1:6" ht="13.5">
      <c r="A6" s="3" t="s">
        <v>11</v>
      </c>
      <c r="E6" s="15">
        <v>80000</v>
      </c>
      <c r="F6" s="1" t="s">
        <v>18</v>
      </c>
    </row>
    <row r="7" spans="1:5" ht="13.5">
      <c r="A7" s="1" t="s">
        <v>12</v>
      </c>
      <c r="E7" s="15">
        <v>200000</v>
      </c>
    </row>
    <row r="8" spans="1:6" ht="13.5">
      <c r="A8" s="1" t="s">
        <v>13</v>
      </c>
      <c r="E8" s="1">
        <v>1</v>
      </c>
      <c r="F8" s="1" t="s">
        <v>14</v>
      </c>
    </row>
    <row r="9" spans="1:6" ht="13.5">
      <c r="A9" s="1" t="s">
        <v>15</v>
      </c>
      <c r="E9" s="1">
        <v>2</v>
      </c>
      <c r="F9" s="1" t="s">
        <v>100</v>
      </c>
    </row>
    <row r="10" spans="1:6" ht="13.5">
      <c r="A10" s="1" t="s">
        <v>16</v>
      </c>
      <c r="E10" s="5">
        <v>0.08</v>
      </c>
      <c r="F10" s="1" t="s">
        <v>17</v>
      </c>
    </row>
    <row r="11" spans="1:6" ht="13.5">
      <c r="A11" s="1" t="s">
        <v>19</v>
      </c>
      <c r="E11" s="5">
        <v>0.02</v>
      </c>
      <c r="F11" s="1" t="s">
        <v>14</v>
      </c>
    </row>
    <row r="12" spans="1:6" ht="13.5">
      <c r="A12" s="1" t="s">
        <v>20</v>
      </c>
      <c r="E12" s="5">
        <v>0.05</v>
      </c>
      <c r="F12" s="1" t="s">
        <v>29</v>
      </c>
    </row>
    <row r="19" spans="2:3" ht="13.5">
      <c r="B19" s="16" t="s">
        <v>22</v>
      </c>
      <c r="C19" s="1" t="s">
        <v>23</v>
      </c>
    </row>
    <row r="20" spans="2:5" ht="13.5">
      <c r="B20" s="105" t="s">
        <v>24</v>
      </c>
      <c r="C20" s="38">
        <v>80000</v>
      </c>
      <c r="D20" s="106" t="s">
        <v>24</v>
      </c>
      <c r="E20" s="107">
        <f>80000/((1.08)^0.5)</f>
        <v>76980.03589195009</v>
      </c>
    </row>
    <row r="21" spans="2:5" ht="15.75">
      <c r="B21" s="105"/>
      <c r="C21" s="10" t="s">
        <v>25</v>
      </c>
      <c r="D21" s="106"/>
      <c r="E21" s="107"/>
    </row>
    <row r="23" spans="2:3" ht="13.5">
      <c r="B23" s="16" t="s">
        <v>26</v>
      </c>
      <c r="C23" s="1" t="s">
        <v>27</v>
      </c>
    </row>
    <row r="24" spans="2:5" ht="13.5">
      <c r="B24" s="105" t="s">
        <v>24</v>
      </c>
      <c r="C24" s="38">
        <v>200000</v>
      </c>
      <c r="D24" s="106" t="s">
        <v>24</v>
      </c>
      <c r="E24" s="107">
        <f>200000/(1.08)^0.5</f>
        <v>192450.08972987524</v>
      </c>
    </row>
    <row r="25" spans="2:5" ht="15.75">
      <c r="B25" s="105"/>
      <c r="C25" s="10" t="s">
        <v>25</v>
      </c>
      <c r="D25" s="106"/>
      <c r="E25" s="107"/>
    </row>
    <row r="27" spans="2:3" ht="15">
      <c r="B27" s="16" t="s">
        <v>28</v>
      </c>
      <c r="C27" s="1" t="s">
        <v>101</v>
      </c>
    </row>
    <row r="28" spans="2:3" ht="13.5">
      <c r="B28" s="19" t="s">
        <v>30</v>
      </c>
      <c r="C28" s="1" t="s">
        <v>135</v>
      </c>
    </row>
    <row r="29" spans="2:7" ht="13.5">
      <c r="B29" s="19"/>
      <c r="C29" s="1" t="s">
        <v>136</v>
      </c>
      <c r="F29" s="18"/>
      <c r="G29" s="20"/>
    </row>
    <row r="30" spans="2:7" ht="7.5" customHeight="1">
      <c r="B30" s="19"/>
      <c r="F30" s="18"/>
      <c r="G30" s="20"/>
    </row>
    <row r="31" spans="2:10" ht="13.5">
      <c r="B31" s="18" t="s">
        <v>30</v>
      </c>
      <c r="C31" s="1" t="s">
        <v>31</v>
      </c>
      <c r="J31" s="21">
        <f>0.05*1000000</f>
        <v>50000</v>
      </c>
    </row>
    <row r="33" spans="2:5" ht="13.5">
      <c r="B33" s="105" t="s">
        <v>3</v>
      </c>
      <c r="C33" s="38">
        <v>50000</v>
      </c>
      <c r="D33" s="106" t="s">
        <v>24</v>
      </c>
      <c r="E33" s="107">
        <f>50000/1.08^2</f>
        <v>42866.941015089156</v>
      </c>
    </row>
    <row r="34" spans="2:5" ht="15.75">
      <c r="B34" s="105"/>
      <c r="C34" s="10" t="s">
        <v>102</v>
      </c>
      <c r="D34" s="106"/>
      <c r="E34" s="107"/>
    </row>
    <row r="36" spans="2:10" ht="15">
      <c r="B36" s="1" t="s">
        <v>32</v>
      </c>
      <c r="F36" s="104" t="s">
        <v>33</v>
      </c>
      <c r="G36" s="104"/>
      <c r="H36" s="104"/>
      <c r="I36" s="104"/>
      <c r="J36" s="87">
        <f>E4-E20-E24-E33</f>
        <v>687702.9333630855</v>
      </c>
    </row>
  </sheetData>
  <mergeCells count="10">
    <mergeCell ref="E20:E21"/>
    <mergeCell ref="E24:E25"/>
    <mergeCell ref="B20:B21"/>
    <mergeCell ref="D20:D21"/>
    <mergeCell ref="B24:B25"/>
    <mergeCell ref="D24:D25"/>
    <mergeCell ref="F36:I36"/>
    <mergeCell ref="B33:B34"/>
    <mergeCell ref="D33:D34"/>
    <mergeCell ref="E33:E34"/>
  </mergeCells>
  <printOptions/>
  <pageMargins left="0.37" right="0.27" top="0.51" bottom="0.43" header="0" footer="0"/>
  <pageSetup fitToHeight="1" fitToWidth="1" horizontalDpi="600" verticalDpi="600" orientation="portrait" r:id="rId2"/>
  <headerFooter alignWithMargins="0">
    <oddHeader>&amp;C&amp;"Book Antiqua,Regular"&amp;8&amp;A</oddHeader>
    <oddFooter>&amp;L&amp;"Book Antiqua,Regular"&amp;8&amp;F&amp;R&amp;"Book Antiqua,Regular"&amp;8&amp;T,&amp;D,&amp;P</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B14" sqref="B14"/>
    </sheetView>
  </sheetViews>
  <sheetFormatPr defaultColWidth="9.140625" defaultRowHeight="12.75"/>
  <cols>
    <col min="1" max="1" width="9.140625" style="3" customWidth="1"/>
    <col min="2" max="16384" width="9.140625" style="1" customWidth="1"/>
  </cols>
  <sheetData>
    <row r="1" ht="13.5">
      <c r="A1" s="3" t="s">
        <v>35</v>
      </c>
    </row>
  </sheetData>
  <printOptions/>
  <pageMargins left="0.68" right="0.6" top="0.56" bottom="0.43" header="0.2" footer="0"/>
  <pageSetup horizontalDpi="600" verticalDpi="600" orientation="portrait" r:id="rId2"/>
  <headerFooter alignWithMargins="0">
    <oddHeader>&amp;C&amp;"Book Antiqua,Regular"&amp;8&amp;A</oddHeader>
    <oddFooter>&amp;L&amp;"Book Antiqua,Regular"&amp;8&amp;F&amp;R&amp;"Book Antiqua,Regular"&amp;8&amp;T,&amp;D,&amp;P</oddFooter>
  </headerFooter>
  <drawing r:id="rId1"/>
</worksheet>
</file>

<file path=xl/worksheets/sheet4.xml><?xml version="1.0" encoding="utf-8"?>
<worksheet xmlns="http://schemas.openxmlformats.org/spreadsheetml/2006/main" xmlns:r="http://schemas.openxmlformats.org/officeDocument/2006/relationships">
  <dimension ref="A1:R90"/>
  <sheetViews>
    <sheetView zoomScale="75" zoomScaleNormal="75" workbookViewId="0" topLeftCell="A42">
      <selection activeCell="R55" sqref="R55"/>
    </sheetView>
  </sheetViews>
  <sheetFormatPr defaultColWidth="9.140625" defaultRowHeight="12.75"/>
  <cols>
    <col min="1" max="1" width="3.28125" style="1" customWidth="1"/>
    <col min="2" max="4" width="9.140625" style="1" customWidth="1"/>
    <col min="5" max="5" width="2.28125" style="1" customWidth="1"/>
    <col min="6" max="6" width="10.00390625" style="7" bestFit="1" customWidth="1"/>
    <col min="7" max="7" width="7.140625" style="7" bestFit="1" customWidth="1"/>
    <col min="8" max="11" width="7.57421875" style="7" bestFit="1" customWidth="1"/>
    <col min="12" max="15" width="7.57421875" style="22" bestFit="1" customWidth="1"/>
    <col min="16" max="16" width="8.00390625" style="22" bestFit="1" customWidth="1"/>
    <col min="17" max="17" width="9.140625" style="7" customWidth="1"/>
    <col min="18" max="16384" width="9.140625" style="1" customWidth="1"/>
  </cols>
  <sheetData>
    <row r="1" ht="13.5">
      <c r="A1" s="3" t="s">
        <v>34</v>
      </c>
    </row>
    <row r="2" ht="13.5">
      <c r="A2" s="3" t="s">
        <v>37</v>
      </c>
    </row>
    <row r="46" ht="13.5">
      <c r="A46" s="1" t="s">
        <v>38</v>
      </c>
    </row>
    <row r="57" ht="13.5">
      <c r="A57" s="1" t="s">
        <v>39</v>
      </c>
    </row>
    <row r="73" spans="1:18" ht="15">
      <c r="A73" s="37" t="s">
        <v>104</v>
      </c>
      <c r="F73" s="25">
        <f>G73-1</f>
        <v>1995</v>
      </c>
      <c r="G73" s="25">
        <f>H73-1</f>
        <v>1996</v>
      </c>
      <c r="H73" s="25">
        <f>I73-1</f>
        <v>1997</v>
      </c>
      <c r="I73" s="25">
        <f>J73-1</f>
        <v>1998</v>
      </c>
      <c r="J73" s="25">
        <f>K73-1</f>
        <v>1999</v>
      </c>
      <c r="K73" s="25">
        <v>2000</v>
      </c>
      <c r="L73" s="25">
        <f>K73+1</f>
        <v>2001</v>
      </c>
      <c r="M73" s="25">
        <f>L73+1</f>
        <v>2002</v>
      </c>
      <c r="N73" s="25">
        <f>M73+1</f>
        <v>2003</v>
      </c>
      <c r="O73" s="25">
        <f>N73+1</f>
        <v>2004</v>
      </c>
      <c r="P73" s="25">
        <f>O73+1</f>
        <v>2005</v>
      </c>
      <c r="Q73" s="14" t="s">
        <v>52</v>
      </c>
      <c r="R73" s="24"/>
    </row>
    <row r="74" spans="1:16" ht="13.5">
      <c r="A74" s="1" t="s">
        <v>45</v>
      </c>
      <c r="G74" s="7">
        <f>2000*4000/1000*1.1</f>
        <v>8800</v>
      </c>
      <c r="H74" s="7">
        <f>1.1^2*4000*4000/1000</f>
        <v>19360.000000000004</v>
      </c>
      <c r="I74" s="7">
        <f>10000*1.1^3*4000*(1-25%)/1000</f>
        <v>39930.000000000015</v>
      </c>
      <c r="J74" s="7">
        <f>1.1^4*10000*(1-25%)*4000/1000</f>
        <v>43923.000000000015</v>
      </c>
      <c r="K74" s="7">
        <f>1.1^5*10000*(1-25%)*4000/1000</f>
        <v>48315.30000000002</v>
      </c>
      <c r="L74" s="7">
        <f>1.1^6*10000*(1-25%)*4000/1000</f>
        <v>53146.83000000002</v>
      </c>
      <c r="M74" s="7">
        <f>1.1^7*10000*(1-25%)*4000/1000</f>
        <v>58461.513000000035</v>
      </c>
      <c r="N74" s="7">
        <f>1.1^8*10000*(1-25%)*4000/1000</f>
        <v>64307.66430000003</v>
      </c>
      <c r="O74" s="7">
        <f>1.1^9*10000*(1-25%)*4000/1000</f>
        <v>70738.43073000005</v>
      </c>
      <c r="P74" s="7">
        <f>1.1^10*10000*(1-25%)*4000/1000</f>
        <v>77812.27380300005</v>
      </c>
    </row>
    <row r="75" spans="1:16" ht="13.5">
      <c r="A75" s="1" t="s">
        <v>41</v>
      </c>
      <c r="G75" s="7">
        <f>1.1*2500*2000/1000</f>
        <v>5500</v>
      </c>
      <c r="H75" s="7">
        <f>1.1^2*2500*4000/1000</f>
        <v>12100.000000000002</v>
      </c>
      <c r="I75" s="7">
        <f>1.1^3*2000*10000/1000</f>
        <v>26620.000000000007</v>
      </c>
      <c r="J75" s="7">
        <f>1.1^4*2000*10</f>
        <v>29282.000000000007</v>
      </c>
      <c r="K75" s="7">
        <f>1.1^5*2000*10</f>
        <v>32210.200000000008</v>
      </c>
      <c r="L75" s="7">
        <f>1.1^6*2000*10</f>
        <v>35431.220000000016</v>
      </c>
      <c r="M75" s="7">
        <f>1.1^7*2000*10</f>
        <v>38974.342000000026</v>
      </c>
      <c r="N75" s="7">
        <f>1.1^8*2000*10</f>
        <v>42871.77620000002</v>
      </c>
      <c r="O75" s="7">
        <f>1.1^9*2000*10</f>
        <v>47158.95382000003</v>
      </c>
      <c r="P75" s="7">
        <f>1.1^10*2000*10</f>
        <v>51874.84920200004</v>
      </c>
    </row>
    <row r="76" spans="1:16" ht="13.5">
      <c r="A76" s="1" t="s">
        <v>51</v>
      </c>
      <c r="G76" s="7">
        <f>10%*G75</f>
        <v>550</v>
      </c>
      <c r="H76" s="7">
        <f aca="true" t="shared" si="0" ref="H76:P76">10%*H75</f>
        <v>1210.0000000000002</v>
      </c>
      <c r="I76" s="7">
        <f t="shared" si="0"/>
        <v>2662.000000000001</v>
      </c>
      <c r="J76" s="7">
        <f t="shared" si="0"/>
        <v>2928.2000000000007</v>
      </c>
      <c r="K76" s="39">
        <f t="shared" si="0"/>
        <v>3221.020000000001</v>
      </c>
      <c r="L76" s="7">
        <f t="shared" si="0"/>
        <v>3543.1220000000017</v>
      </c>
      <c r="M76" s="7">
        <f t="shared" si="0"/>
        <v>3897.434200000003</v>
      </c>
      <c r="N76" s="7">
        <f t="shared" si="0"/>
        <v>4287.177620000002</v>
      </c>
      <c r="O76" s="7">
        <f t="shared" si="0"/>
        <v>4715.895382000003</v>
      </c>
      <c r="P76" s="7">
        <f t="shared" si="0"/>
        <v>5187.484920200004</v>
      </c>
    </row>
    <row r="77" spans="1:16" ht="13.5">
      <c r="A77" s="1" t="s">
        <v>40</v>
      </c>
      <c r="G77" s="14">
        <f>(F84)*20%</f>
        <v>-3080</v>
      </c>
      <c r="H77" s="14">
        <f>32%*(F84)</f>
        <v>-4928</v>
      </c>
      <c r="I77" s="14">
        <f>19.2%*(F84)</f>
        <v>-2956.8</v>
      </c>
      <c r="J77" s="14">
        <f>11.52%*(F84)</f>
        <v>-1774.08</v>
      </c>
      <c r="K77" s="14">
        <f>11.52%*(F84)</f>
        <v>-1774.08</v>
      </c>
      <c r="L77" s="14">
        <f>5.76%*(F84)</f>
        <v>-887.04</v>
      </c>
      <c r="M77" s="17"/>
      <c r="N77" s="17"/>
      <c r="O77" s="17"/>
      <c r="P77" s="17"/>
    </row>
    <row r="78" spans="1:16" ht="13.5">
      <c r="A78" s="1" t="s">
        <v>42</v>
      </c>
      <c r="G78" s="7">
        <f>G74-G75-G76+G77</f>
        <v>-330</v>
      </c>
      <c r="H78" s="7">
        <f aca="true" t="shared" si="1" ref="H78:P78">H74-H75-H76+H77</f>
        <v>1122.0000000000018</v>
      </c>
      <c r="I78" s="7">
        <f t="shared" si="1"/>
        <v>7691.200000000007</v>
      </c>
      <c r="J78" s="7">
        <f t="shared" si="1"/>
        <v>9938.720000000007</v>
      </c>
      <c r="K78" s="7">
        <f t="shared" si="1"/>
        <v>11110.00000000001</v>
      </c>
      <c r="L78" s="7">
        <f t="shared" si="1"/>
        <v>13285.448000000008</v>
      </c>
      <c r="M78" s="7">
        <f t="shared" si="1"/>
        <v>15589.736800000006</v>
      </c>
      <c r="N78" s="7">
        <f t="shared" si="1"/>
        <v>17148.71048000001</v>
      </c>
      <c r="O78" s="7">
        <f t="shared" si="1"/>
        <v>18863.581528000017</v>
      </c>
      <c r="P78" s="7">
        <f t="shared" si="1"/>
        <v>20749.939680800002</v>
      </c>
    </row>
    <row r="79" spans="1:16" ht="13.5">
      <c r="A79" s="1" t="s">
        <v>43</v>
      </c>
      <c r="D79" s="31">
        <v>0.35</v>
      </c>
      <c r="G79" s="7">
        <f>G78*(1-35%)</f>
        <v>-214.5</v>
      </c>
      <c r="H79" s="7">
        <f aca="true" t="shared" si="2" ref="H79:P79">H78*(1-35%)</f>
        <v>729.3000000000012</v>
      </c>
      <c r="I79" s="7">
        <f t="shared" si="2"/>
        <v>4999.280000000005</v>
      </c>
      <c r="J79" s="7">
        <f t="shared" si="2"/>
        <v>6460.168000000004</v>
      </c>
      <c r="K79" s="7">
        <f t="shared" si="2"/>
        <v>7221.500000000006</v>
      </c>
      <c r="L79" s="7">
        <f t="shared" si="2"/>
        <v>8635.541200000005</v>
      </c>
      <c r="M79" s="7">
        <f t="shared" si="2"/>
        <v>10133.328920000004</v>
      </c>
      <c r="N79" s="7">
        <f t="shared" si="2"/>
        <v>11146.661812000006</v>
      </c>
      <c r="O79" s="7">
        <f t="shared" si="2"/>
        <v>12261.327993200011</v>
      </c>
      <c r="P79" s="7">
        <f t="shared" si="2"/>
        <v>13487.460792520002</v>
      </c>
    </row>
    <row r="80" spans="1:12" ht="13.5">
      <c r="A80" s="16" t="s">
        <v>44</v>
      </c>
      <c r="G80" s="7">
        <f aca="true" t="shared" si="3" ref="G80:L80">-G77</f>
        <v>3080</v>
      </c>
      <c r="H80" s="7">
        <f t="shared" si="3"/>
        <v>4928</v>
      </c>
      <c r="I80" s="7">
        <f t="shared" si="3"/>
        <v>2956.8</v>
      </c>
      <c r="J80" s="7">
        <f t="shared" si="3"/>
        <v>1774.08</v>
      </c>
      <c r="K80" s="7">
        <f t="shared" si="3"/>
        <v>1774.08</v>
      </c>
      <c r="L80" s="7">
        <f t="shared" si="3"/>
        <v>887.04</v>
      </c>
    </row>
    <row r="81" ht="13.5">
      <c r="A81" s="16" t="s">
        <v>46</v>
      </c>
    </row>
    <row r="82" spans="1:17" ht="13.5">
      <c r="A82" s="16"/>
      <c r="B82" s="1" t="s">
        <v>48</v>
      </c>
      <c r="F82" s="7">
        <f>-10%*G74/1.1</f>
        <v>-799.9999999999999</v>
      </c>
      <c r="G82" s="7">
        <f>-10%*H74/1.1-F82</f>
        <v>-960.0000000000003</v>
      </c>
      <c r="H82" s="7">
        <f aca="true" t="shared" si="4" ref="H82:O82">-10%*I74/1.1-G82</f>
        <v>-2670.000000000001</v>
      </c>
      <c r="I82" s="7">
        <f t="shared" si="4"/>
        <v>-1323.0000000000005</v>
      </c>
      <c r="J82" s="7">
        <f t="shared" si="4"/>
        <v>-3069.3000000000006</v>
      </c>
      <c r="K82" s="7">
        <f t="shared" si="4"/>
        <v>-1762.2300000000018</v>
      </c>
      <c r="L82" s="7">
        <f t="shared" si="4"/>
        <v>-3552.453000000002</v>
      </c>
      <c r="M82" s="7">
        <f t="shared" si="4"/>
        <v>-2293.6983000000005</v>
      </c>
      <c r="N82" s="7">
        <f t="shared" si="4"/>
        <v>-4137.068130000003</v>
      </c>
      <c r="O82" s="7">
        <f t="shared" si="4"/>
        <v>-2936.7749430000013</v>
      </c>
      <c r="Q82" s="7">
        <f>10%*P74</f>
        <v>7781.227380300005</v>
      </c>
    </row>
    <row r="83" spans="1:17" ht="13.5">
      <c r="A83" s="16"/>
      <c r="B83" s="1" t="s">
        <v>49</v>
      </c>
      <c r="G83" s="7">
        <f>-5%*G74</f>
        <v>-440</v>
      </c>
      <c r="H83" s="7">
        <f>-5%*H74-G83</f>
        <v>-528.0000000000002</v>
      </c>
      <c r="I83" s="7">
        <f aca="true" t="shared" si="5" ref="I83:P83">-5%*I74-H83</f>
        <v>-1468.5000000000007</v>
      </c>
      <c r="J83" s="7">
        <f t="shared" si="5"/>
        <v>-727.6500000000003</v>
      </c>
      <c r="K83" s="7">
        <f t="shared" si="5"/>
        <v>-1688.1150000000005</v>
      </c>
      <c r="L83" s="7">
        <f t="shared" si="5"/>
        <v>-969.2265000000009</v>
      </c>
      <c r="M83" s="7">
        <f t="shared" si="5"/>
        <v>-1953.8491500000011</v>
      </c>
      <c r="N83" s="7">
        <f t="shared" si="5"/>
        <v>-1261.5340650000005</v>
      </c>
      <c r="O83" s="7">
        <f t="shared" si="5"/>
        <v>-2275.387471500002</v>
      </c>
      <c r="P83" s="7">
        <f t="shared" si="5"/>
        <v>-1615.2262186500006</v>
      </c>
      <c r="Q83" s="7">
        <f>5%*P74</f>
        <v>3890.6136901500026</v>
      </c>
    </row>
    <row r="84" spans="1:17" ht="13.5">
      <c r="A84" s="16" t="s">
        <v>47</v>
      </c>
      <c r="F84" s="14">
        <f>-(8000+5000+2400)</f>
        <v>-15400</v>
      </c>
      <c r="G84" s="14"/>
      <c r="H84" s="14"/>
      <c r="I84" s="14"/>
      <c r="J84" s="14"/>
      <c r="K84" s="14"/>
      <c r="L84" s="17"/>
      <c r="M84" s="17"/>
      <c r="N84" s="17"/>
      <c r="O84" s="17"/>
      <c r="P84" s="17"/>
      <c r="Q84" s="17">
        <f>3000*1.1^10*(1-0.35)</f>
        <v>5057.797797195004</v>
      </c>
    </row>
    <row r="85" spans="1:17" ht="13.5">
      <c r="A85" s="16"/>
      <c r="B85" s="1" t="s">
        <v>50</v>
      </c>
      <c r="F85" s="7">
        <f>SUM(F79:F84)</f>
        <v>-16200</v>
      </c>
      <c r="G85" s="7">
        <f aca="true" t="shared" si="6" ref="G85:O85">SUM(G79:G84)</f>
        <v>1465.4999999999995</v>
      </c>
      <c r="H85" s="7">
        <f t="shared" si="6"/>
        <v>2459.3</v>
      </c>
      <c r="I85" s="7">
        <f t="shared" si="6"/>
        <v>5164.5800000000045</v>
      </c>
      <c r="J85" s="7">
        <f t="shared" si="6"/>
        <v>4437.298000000002</v>
      </c>
      <c r="K85" s="7">
        <f t="shared" si="6"/>
        <v>5545.235000000003</v>
      </c>
      <c r="L85" s="7">
        <f t="shared" si="6"/>
        <v>5000.901700000002</v>
      </c>
      <c r="M85" s="7">
        <f t="shared" si="6"/>
        <v>5885.781470000003</v>
      </c>
      <c r="N85" s="7">
        <f t="shared" si="6"/>
        <v>5748.059617000002</v>
      </c>
      <c r="O85" s="7">
        <f t="shared" si="6"/>
        <v>7049.165578700009</v>
      </c>
      <c r="P85" s="7">
        <f>SUM(P79:P84)</f>
        <v>11872.23457387</v>
      </c>
      <c r="Q85" s="7">
        <f>SUM(Q82:Q84)</f>
        <v>16729.63886764501</v>
      </c>
    </row>
    <row r="86" ht="13.5">
      <c r="A86" s="16"/>
    </row>
    <row r="87" spans="2:6" ht="15">
      <c r="B87" s="1" t="s">
        <v>103</v>
      </c>
      <c r="C87" s="18" t="s">
        <v>105</v>
      </c>
      <c r="D87" s="31">
        <v>0.2</v>
      </c>
      <c r="F87" s="86">
        <f>NPV(D87,G85:P85)+Q85/1.2^10+F85</f>
        <v>4726.023191015069</v>
      </c>
    </row>
    <row r="88" ht="13.5">
      <c r="F88" s="7" t="s">
        <v>137</v>
      </c>
    </row>
    <row r="90" spans="3:6" ht="13.5">
      <c r="C90" s="18"/>
      <c r="D90" s="5"/>
      <c r="F90" s="26"/>
    </row>
  </sheetData>
  <printOptions/>
  <pageMargins left="0.35" right="0.37" top="0.39" bottom="0.39" header="0.23" footer="0"/>
  <pageSetup fitToHeight="2" fitToWidth="2" horizontalDpi="600" verticalDpi="600" orientation="landscape" scale="90" r:id="rId2"/>
  <headerFooter alignWithMargins="0">
    <oddHeader>&amp;C&amp;"Book Antiqua,Regular"&amp;8&amp;A</oddHeader>
    <oddFooter>&amp;L&amp;"Book Antiqua,Regular"&amp;8&amp;F&amp;R&amp;"Book Antiqua,Regular"&amp;8&amp;T,&amp;D,&amp;P</oddFooter>
  </headerFooter>
  <rowBreaks count="1" manualBreakCount="1">
    <brk id="45"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O19"/>
  <sheetViews>
    <sheetView workbookViewId="0" topLeftCell="A1">
      <selection activeCell="B4" sqref="B4"/>
    </sheetView>
  </sheetViews>
  <sheetFormatPr defaultColWidth="9.140625" defaultRowHeight="12.75"/>
  <cols>
    <col min="1" max="1" width="2.8515625" style="3" bestFit="1" customWidth="1"/>
    <col min="2" max="2" width="22.7109375" style="1" bestFit="1" customWidth="1"/>
    <col min="3" max="3" width="6.57421875" style="1" customWidth="1"/>
    <col min="4" max="4" width="8.140625" style="1" bestFit="1" customWidth="1"/>
    <col min="5" max="14" width="5.7109375" style="1" customWidth="1"/>
    <col min="15" max="16384" width="9.140625" style="1" customWidth="1"/>
  </cols>
  <sheetData>
    <row r="1" ht="13.5">
      <c r="A1" s="3">
        <v>5</v>
      </c>
    </row>
    <row r="2" ht="13.5">
      <c r="B2" s="1" t="s">
        <v>138</v>
      </c>
    </row>
    <row r="3" ht="15">
      <c r="B3" s="35" t="s">
        <v>139</v>
      </c>
    </row>
    <row r="5" spans="4:14" ht="13.5">
      <c r="D5" s="28">
        <v>0</v>
      </c>
      <c r="E5" s="28">
        <f>D5+1</f>
        <v>1</v>
      </c>
      <c r="F5" s="28">
        <f aca="true" t="shared" si="0" ref="F5:N5">E5+1</f>
        <v>2</v>
      </c>
      <c r="G5" s="28">
        <f t="shared" si="0"/>
        <v>3</v>
      </c>
      <c r="H5" s="28">
        <f t="shared" si="0"/>
        <v>4</v>
      </c>
      <c r="I5" s="28">
        <f t="shared" si="0"/>
        <v>5</v>
      </c>
      <c r="J5" s="28">
        <f t="shared" si="0"/>
        <v>6</v>
      </c>
      <c r="K5" s="28">
        <f t="shared" si="0"/>
        <v>7</v>
      </c>
      <c r="L5" s="28">
        <f t="shared" si="0"/>
        <v>8</v>
      </c>
      <c r="M5" s="28">
        <f t="shared" si="0"/>
        <v>9</v>
      </c>
      <c r="N5" s="28">
        <f t="shared" si="0"/>
        <v>10</v>
      </c>
    </row>
    <row r="6" spans="1:14" ht="13.5">
      <c r="A6" s="3" t="s">
        <v>55</v>
      </c>
      <c r="B6" s="1" t="s">
        <v>110</v>
      </c>
      <c r="D6" s="1">
        <v>-100</v>
      </c>
      <c r="N6" s="1">
        <f>2*(1-0.4)</f>
        <v>1.2</v>
      </c>
    </row>
    <row r="7" spans="1:14" ht="13.5">
      <c r="A7" s="3" t="s">
        <v>56</v>
      </c>
      <c r="B7" s="1" t="s">
        <v>53</v>
      </c>
      <c r="E7" s="1">
        <v>8</v>
      </c>
      <c r="F7" s="1">
        <f>E7</f>
        <v>8</v>
      </c>
      <c r="G7" s="1">
        <f aca="true" t="shared" si="1" ref="G7:N7">F7</f>
        <v>8</v>
      </c>
      <c r="H7" s="1">
        <f t="shared" si="1"/>
        <v>8</v>
      </c>
      <c r="I7" s="1">
        <f t="shared" si="1"/>
        <v>8</v>
      </c>
      <c r="J7" s="1">
        <f t="shared" si="1"/>
        <v>8</v>
      </c>
      <c r="K7" s="1">
        <f t="shared" si="1"/>
        <v>8</v>
      </c>
      <c r="L7" s="1">
        <f t="shared" si="1"/>
        <v>8</v>
      </c>
      <c r="M7" s="1">
        <f t="shared" si="1"/>
        <v>8</v>
      </c>
      <c r="N7" s="1">
        <f t="shared" si="1"/>
        <v>8</v>
      </c>
    </row>
    <row r="8" spans="1:14" ht="13.5">
      <c r="A8" s="3" t="s">
        <v>57</v>
      </c>
      <c r="B8" s="1" t="s">
        <v>54</v>
      </c>
      <c r="E8" s="24">
        <v>-9</v>
      </c>
      <c r="F8" s="24">
        <v>-9</v>
      </c>
      <c r="G8" s="24">
        <v>-9</v>
      </c>
      <c r="H8" s="24">
        <v>-9</v>
      </c>
      <c r="I8" s="24">
        <v>-9</v>
      </c>
      <c r="J8" s="24">
        <v>-9</v>
      </c>
      <c r="K8" s="24">
        <v>-9</v>
      </c>
      <c r="L8" s="24">
        <v>-9</v>
      </c>
      <c r="M8" s="24">
        <v>-9</v>
      </c>
      <c r="N8" s="24">
        <v>-9</v>
      </c>
    </row>
    <row r="9" spans="1:15" s="37" customFormat="1" ht="15">
      <c r="A9" s="40"/>
      <c r="B9" s="85" t="s">
        <v>65</v>
      </c>
      <c r="E9" s="37">
        <f>(E7-E8)*0.6</f>
        <v>10.2</v>
      </c>
      <c r="F9" s="37">
        <f aca="true" t="shared" si="2" ref="F9:N9">(F7-F8)*0.6</f>
        <v>10.2</v>
      </c>
      <c r="G9" s="37">
        <f t="shared" si="2"/>
        <v>10.2</v>
      </c>
      <c r="H9" s="37">
        <f t="shared" si="2"/>
        <v>10.2</v>
      </c>
      <c r="I9" s="37">
        <f t="shared" si="2"/>
        <v>10.2</v>
      </c>
      <c r="J9" s="37">
        <f t="shared" si="2"/>
        <v>10.2</v>
      </c>
      <c r="K9" s="37">
        <f t="shared" si="2"/>
        <v>10.2</v>
      </c>
      <c r="L9" s="37">
        <f t="shared" si="2"/>
        <v>10.2</v>
      </c>
      <c r="M9" s="37">
        <f t="shared" si="2"/>
        <v>10.2</v>
      </c>
      <c r="N9" s="37">
        <f t="shared" si="2"/>
        <v>10.2</v>
      </c>
      <c r="O9" s="41"/>
    </row>
    <row r="10" spans="1:4" ht="13.5">
      <c r="A10" s="3" t="s">
        <v>58</v>
      </c>
      <c r="B10" s="1" t="s">
        <v>108</v>
      </c>
      <c r="D10" s="1">
        <f>3*(1-0.4)</f>
        <v>1.7999999999999998</v>
      </c>
    </row>
    <row r="11" ht="13.5">
      <c r="B11" s="1" t="s">
        <v>107</v>
      </c>
    </row>
    <row r="12" spans="1:15" ht="13.5">
      <c r="A12" s="3" t="s">
        <v>59</v>
      </c>
      <c r="B12" s="1" t="s">
        <v>60</v>
      </c>
      <c r="D12" s="1">
        <v>-4</v>
      </c>
      <c r="E12" s="1">
        <v>0</v>
      </c>
      <c r="F12" s="1">
        <v>0</v>
      </c>
      <c r="G12" s="1">
        <v>0</v>
      </c>
      <c r="H12" s="1">
        <v>0</v>
      </c>
      <c r="I12" s="1">
        <v>0</v>
      </c>
      <c r="J12" s="1">
        <v>0</v>
      </c>
      <c r="K12" s="1">
        <v>0</v>
      </c>
      <c r="L12" s="1">
        <v>0</v>
      </c>
      <c r="M12" s="1">
        <v>0</v>
      </c>
      <c r="N12" s="1">
        <f>4</f>
        <v>4</v>
      </c>
      <c r="O12" s="4"/>
    </row>
    <row r="13" spans="1:15" ht="13.5">
      <c r="A13" s="3" t="s">
        <v>61</v>
      </c>
      <c r="B13" s="1" t="s">
        <v>62</v>
      </c>
      <c r="D13" s="24"/>
      <c r="E13" s="24">
        <f>100/10*0.4</f>
        <v>4</v>
      </c>
      <c r="F13" s="24">
        <f aca="true" t="shared" si="3" ref="F13:N13">100/10*0.4</f>
        <v>4</v>
      </c>
      <c r="G13" s="24">
        <f t="shared" si="3"/>
        <v>4</v>
      </c>
      <c r="H13" s="24">
        <f t="shared" si="3"/>
        <v>4</v>
      </c>
      <c r="I13" s="24">
        <f t="shared" si="3"/>
        <v>4</v>
      </c>
      <c r="J13" s="24">
        <f t="shared" si="3"/>
        <v>4</v>
      </c>
      <c r="K13" s="24">
        <f t="shared" si="3"/>
        <v>4</v>
      </c>
      <c r="L13" s="24">
        <f t="shared" si="3"/>
        <v>4</v>
      </c>
      <c r="M13" s="24">
        <f t="shared" si="3"/>
        <v>4</v>
      </c>
      <c r="N13" s="24">
        <f t="shared" si="3"/>
        <v>4</v>
      </c>
      <c r="O13" s="4"/>
    </row>
    <row r="14" spans="1:14" s="37" customFormat="1" ht="15">
      <c r="A14" s="40"/>
      <c r="B14" s="37" t="s">
        <v>63</v>
      </c>
      <c r="D14" s="37">
        <f>SUM(D6:D13)</f>
        <v>-102.2</v>
      </c>
      <c r="E14" s="37">
        <f>E9+E13</f>
        <v>14.2</v>
      </c>
      <c r="F14" s="37">
        <f aca="true" t="shared" si="4" ref="F14:M14">F9+F12+F13</f>
        <v>14.2</v>
      </c>
      <c r="G14" s="37">
        <f t="shared" si="4"/>
        <v>14.2</v>
      </c>
      <c r="H14" s="37">
        <f t="shared" si="4"/>
        <v>14.2</v>
      </c>
      <c r="I14" s="37">
        <f t="shared" si="4"/>
        <v>14.2</v>
      </c>
      <c r="J14" s="37">
        <f t="shared" si="4"/>
        <v>14.2</v>
      </c>
      <c r="K14" s="37">
        <f t="shared" si="4"/>
        <v>14.2</v>
      </c>
      <c r="L14" s="37">
        <f t="shared" si="4"/>
        <v>14.2</v>
      </c>
      <c r="M14" s="37">
        <f t="shared" si="4"/>
        <v>14.2</v>
      </c>
      <c r="N14" s="37">
        <f>N9+N12+N13+N6</f>
        <v>19.4</v>
      </c>
    </row>
    <row r="16" spans="2:3" ht="13.5">
      <c r="B16" s="1" t="s">
        <v>106</v>
      </c>
      <c r="C16" s="5">
        <v>0.1</v>
      </c>
    </row>
    <row r="17" spans="2:4" ht="15">
      <c r="B17" s="1" t="s">
        <v>7</v>
      </c>
      <c r="D17" s="90">
        <f>D14+NPV(C16,E14:N14)</f>
        <v>-12.942321993959993</v>
      </c>
    </row>
    <row r="19" ht="13.5">
      <c r="B19" s="1" t="s">
        <v>130</v>
      </c>
    </row>
  </sheetData>
  <printOptions/>
  <pageMargins left="0.68" right="0.6" top="0.48" bottom="0.43" header="0" footer="0"/>
  <pageSetup fitToHeight="1" fitToWidth="1" horizontalDpi="600" verticalDpi="600" orientation="portrait" scale="96" r:id="rId1"/>
  <headerFooter alignWithMargins="0">
    <oddHeader>&amp;C&amp;"Book Antiqua,Regular"&amp;8&amp;A</oddHeader>
    <oddFooter>&amp;L&amp;"Book Antiqua,Regular"&amp;8&amp;F&amp;R&amp;"Book Antiqua,Regular"&amp;8&amp;T,&amp;D,&amp;P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7"/>
  <sheetViews>
    <sheetView tabSelected="1" workbookViewId="0" topLeftCell="A1">
      <selection activeCell="E15" sqref="E15"/>
    </sheetView>
  </sheetViews>
  <sheetFormatPr defaultColWidth="9.140625" defaultRowHeight="12.75"/>
  <cols>
    <col min="1" max="1" width="2.00390625" style="3" bestFit="1" customWidth="1"/>
    <col min="2" max="2" width="26.00390625" style="1" customWidth="1"/>
    <col min="3" max="3" width="10.140625" style="1" bestFit="1" customWidth="1"/>
    <col min="4" max="4" width="10.57421875" style="1" bestFit="1" customWidth="1"/>
    <col min="5" max="5" width="8.140625" style="1" bestFit="1" customWidth="1"/>
    <col min="6" max="10" width="7.140625" style="1" bestFit="1" customWidth="1"/>
    <col min="11" max="11" width="5.00390625" style="1" bestFit="1" customWidth="1"/>
    <col min="12" max="12" width="5.7109375" style="1" bestFit="1" customWidth="1"/>
    <col min="13" max="16384" width="9.140625" style="1" customWidth="1"/>
  </cols>
  <sheetData>
    <row r="1" spans="1:2" ht="13.5">
      <c r="A1" s="3">
        <v>6</v>
      </c>
      <c r="B1" s="1" t="s">
        <v>80</v>
      </c>
    </row>
    <row r="3" ht="15">
      <c r="B3" s="1" t="s">
        <v>140</v>
      </c>
    </row>
    <row r="5" ht="15">
      <c r="B5" s="2" t="s">
        <v>111</v>
      </c>
    </row>
    <row r="6" ht="15">
      <c r="B6" s="2" t="s">
        <v>112</v>
      </c>
    </row>
    <row r="7" ht="15">
      <c r="B7" s="2"/>
    </row>
    <row r="8" spans="2:4" ht="15">
      <c r="B8" s="43" t="s">
        <v>66</v>
      </c>
      <c r="C8" s="24"/>
      <c r="D8" s="44"/>
    </row>
    <row r="9" spans="2:4" ht="13.5">
      <c r="B9" s="1" t="s">
        <v>68</v>
      </c>
      <c r="C9" s="7">
        <v>20000</v>
      </c>
      <c r="D9" s="1" t="s">
        <v>69</v>
      </c>
    </row>
    <row r="10" spans="2:3" ht="13.5">
      <c r="B10" s="1" t="s">
        <v>74</v>
      </c>
      <c r="C10" s="7">
        <f>C9*(1-0.1429-0.2449-0.1749-0.1249)</f>
        <v>6247.999999999999</v>
      </c>
    </row>
    <row r="11" spans="2:3" ht="13.5">
      <c r="B11" s="1" t="s">
        <v>109</v>
      </c>
      <c r="C11" s="18" t="s">
        <v>70</v>
      </c>
    </row>
    <row r="12" spans="2:3" ht="13.5">
      <c r="B12" s="1" t="s">
        <v>71</v>
      </c>
      <c r="C12" s="5">
        <v>0.35</v>
      </c>
    </row>
    <row r="13" spans="2:3" ht="13.5">
      <c r="B13" s="1" t="s">
        <v>73</v>
      </c>
      <c r="C13" s="7">
        <v>8000</v>
      </c>
    </row>
    <row r="14" spans="4:10" ht="13.5">
      <c r="D14" s="27">
        <v>0</v>
      </c>
      <c r="E14" s="27">
        <v>1</v>
      </c>
      <c r="F14" s="27">
        <v>2</v>
      </c>
      <c r="G14" s="27">
        <v>3</v>
      </c>
      <c r="H14" s="27">
        <v>4</v>
      </c>
      <c r="I14" s="27">
        <v>5</v>
      </c>
      <c r="J14" s="27">
        <v>6</v>
      </c>
    </row>
    <row r="15" spans="2:10" ht="13.5">
      <c r="B15" s="1" t="s">
        <v>76</v>
      </c>
      <c r="E15" s="7">
        <f>-2000*(1-$C$12)</f>
        <v>-1300</v>
      </c>
      <c r="F15" s="7">
        <f>-2000*(1-$C$12)</f>
        <v>-1300</v>
      </c>
      <c r="G15" s="7">
        <f>-8000*(1-$C$12)</f>
        <v>-5200</v>
      </c>
      <c r="H15" s="7">
        <f>-8000*(1-$C$12)</f>
        <v>-5200</v>
      </c>
      <c r="I15" s="7">
        <f>-8000*(1-$C$12)</f>
        <v>-5200</v>
      </c>
      <c r="J15" s="7">
        <f>-8000*(1-$C$12)</f>
        <v>-5200</v>
      </c>
    </row>
    <row r="16" spans="2:10" ht="13.5">
      <c r="B16" s="1" t="s">
        <v>67</v>
      </c>
      <c r="E16" s="7">
        <f>$C$9*0.0893*C12</f>
        <v>625.0999999999999</v>
      </c>
      <c r="F16" s="7">
        <f>$C$9*0.0893*C12</f>
        <v>625.0999999999999</v>
      </c>
      <c r="G16" s="7">
        <f>$C$9*0.0893*C12</f>
        <v>625.0999999999999</v>
      </c>
      <c r="H16" s="7">
        <f>$C$9*0.0445*C12</f>
        <v>311.5</v>
      </c>
      <c r="I16" s="7"/>
      <c r="J16" s="7"/>
    </row>
    <row r="17" spans="2:10" ht="13.5">
      <c r="B17" s="1" t="s">
        <v>72</v>
      </c>
      <c r="D17" s="14">
        <f>-(8000-(C13-C10)*0.35)</f>
        <v>-7386.799999999999</v>
      </c>
      <c r="E17" s="14"/>
      <c r="F17" s="14"/>
      <c r="G17" s="14"/>
      <c r="H17" s="14"/>
      <c r="I17" s="14"/>
      <c r="J17" s="14"/>
    </row>
    <row r="18" spans="2:10" ht="13.5">
      <c r="B18" s="1" t="s">
        <v>75</v>
      </c>
      <c r="D18" s="7">
        <f>SUM(D15:D17)</f>
        <v>-7386.799999999999</v>
      </c>
      <c r="E18" s="7">
        <f aca="true" t="shared" si="0" ref="E18:J18">SUM(E15:E17)</f>
        <v>-674.9000000000001</v>
      </c>
      <c r="F18" s="7">
        <f t="shared" si="0"/>
        <v>-674.9000000000001</v>
      </c>
      <c r="G18" s="7">
        <f t="shared" si="0"/>
        <v>-4574.9</v>
      </c>
      <c r="H18" s="7">
        <f t="shared" si="0"/>
        <v>-4888.5</v>
      </c>
      <c r="I18" s="7">
        <f t="shared" si="0"/>
        <v>-5200</v>
      </c>
      <c r="J18" s="7">
        <f t="shared" si="0"/>
        <v>-5200</v>
      </c>
    </row>
    <row r="19" spans="2:3" ht="13.5">
      <c r="B19" s="1" t="s">
        <v>106</v>
      </c>
      <c r="C19" s="5">
        <v>0.07</v>
      </c>
    </row>
    <row r="20" spans="2:4" ht="13.5">
      <c r="B20" s="1" t="s">
        <v>7</v>
      </c>
      <c r="D20" s="29">
        <f>D18+NPV(C19,E18:J18)</f>
        <v>-23243.433559506215</v>
      </c>
    </row>
    <row r="22" ht="13.5">
      <c r="B22" s="1" t="s">
        <v>141</v>
      </c>
    </row>
    <row r="23" spans="4:5" ht="15">
      <c r="D23" s="18" t="s">
        <v>24</v>
      </c>
      <c r="E23" s="86">
        <f>D20/(1/7%-1/(7%*(1.07)^6))</f>
        <v>-4876.374732746171</v>
      </c>
    </row>
    <row r="24" spans="4:5" ht="15">
      <c r="D24" s="18"/>
      <c r="E24" s="42"/>
    </row>
    <row r="25" spans="2:3" ht="15">
      <c r="B25" s="43" t="s">
        <v>77</v>
      </c>
      <c r="C25" s="24"/>
    </row>
    <row r="26" spans="4:12" ht="13.5">
      <c r="D26" s="27">
        <v>0</v>
      </c>
      <c r="E26" s="27">
        <v>1</v>
      </c>
      <c r="F26" s="27">
        <v>2</v>
      </c>
      <c r="G26" s="27">
        <v>3</v>
      </c>
      <c r="H26" s="27">
        <v>4</v>
      </c>
      <c r="I26" s="27">
        <v>5</v>
      </c>
      <c r="J26" s="27">
        <v>6</v>
      </c>
      <c r="K26" s="27">
        <v>7</v>
      </c>
      <c r="L26" s="27">
        <v>8</v>
      </c>
    </row>
    <row r="27" spans="2:4" ht="13.5">
      <c r="B27" s="1" t="s">
        <v>78</v>
      </c>
      <c r="D27" s="7">
        <v>-25000</v>
      </c>
    </row>
    <row r="28" spans="2:12" ht="13.5">
      <c r="B28" s="1" t="s">
        <v>76</v>
      </c>
      <c r="E28" s="1">
        <f>-1000*(1-$C$12)</f>
        <v>-650</v>
      </c>
      <c r="F28" s="1">
        <f aca="true" t="shared" si="1" ref="F28:L28">-1000*(1-$C$12)</f>
        <v>-650</v>
      </c>
      <c r="G28" s="1">
        <f t="shared" si="1"/>
        <v>-650</v>
      </c>
      <c r="H28" s="1">
        <f t="shared" si="1"/>
        <v>-650</v>
      </c>
      <c r="I28" s="1">
        <f t="shared" si="1"/>
        <v>-650</v>
      </c>
      <c r="J28" s="1">
        <f t="shared" si="1"/>
        <v>-650</v>
      </c>
      <c r="K28" s="1">
        <f t="shared" si="1"/>
        <v>-650</v>
      </c>
      <c r="L28" s="1">
        <f t="shared" si="1"/>
        <v>-650</v>
      </c>
    </row>
    <row r="29" spans="2:12" ht="13.5">
      <c r="B29" s="1" t="s">
        <v>67</v>
      </c>
      <c r="D29" s="24"/>
      <c r="E29" s="32">
        <f>25000*0.1429*$C$12</f>
        <v>1250.375</v>
      </c>
      <c r="F29" s="32">
        <f>25000*0.2449*$C$12</f>
        <v>2142.875</v>
      </c>
      <c r="G29" s="32">
        <f>25000*0.1749*$C$12</f>
        <v>1530.375</v>
      </c>
      <c r="H29" s="32">
        <f>25000*0.1249*$C$12</f>
        <v>1092.875</v>
      </c>
      <c r="I29" s="32">
        <f>25000*0.0893*$C$12</f>
        <v>781.375</v>
      </c>
      <c r="J29" s="32">
        <f>25000*0.0893*$C$12</f>
        <v>781.375</v>
      </c>
      <c r="K29" s="32">
        <f>25000*0.0893*$C$12</f>
        <v>781.375</v>
      </c>
      <c r="L29" s="32">
        <f>25000*0.0445*$C$12</f>
        <v>389.375</v>
      </c>
    </row>
    <row r="30" spans="2:12" ht="13.5">
      <c r="B30" s="1" t="s">
        <v>75</v>
      </c>
      <c r="D30" s="29">
        <f>SUM(D27:D29)</f>
        <v>-25000</v>
      </c>
      <c r="E30" s="29">
        <f aca="true" t="shared" si="2" ref="E30:L30">SUM(E27:E29)</f>
        <v>600.375</v>
      </c>
      <c r="F30" s="29">
        <f t="shared" si="2"/>
        <v>1492.875</v>
      </c>
      <c r="G30" s="29">
        <f t="shared" si="2"/>
        <v>880.375</v>
      </c>
      <c r="H30" s="29">
        <f t="shared" si="2"/>
        <v>442.875</v>
      </c>
      <c r="I30" s="29">
        <f t="shared" si="2"/>
        <v>131.375</v>
      </c>
      <c r="J30" s="29">
        <f t="shared" si="2"/>
        <v>131.375</v>
      </c>
      <c r="K30" s="29">
        <f t="shared" si="2"/>
        <v>131.375</v>
      </c>
      <c r="L30" s="29">
        <f t="shared" si="2"/>
        <v>-260.625</v>
      </c>
    </row>
    <row r="31" spans="2:3" ht="13.5">
      <c r="B31" s="1" t="s">
        <v>106</v>
      </c>
      <c r="C31" s="5">
        <v>0.07</v>
      </c>
    </row>
    <row r="32" spans="2:4" ht="13.5">
      <c r="B32" s="1" t="s">
        <v>7</v>
      </c>
      <c r="D32" s="29">
        <f>D30+NPV(C31,E30:L30)</f>
        <v>-21967.11467383829</v>
      </c>
    </row>
    <row r="34" ht="13.5">
      <c r="B34" s="1" t="s">
        <v>142</v>
      </c>
    </row>
    <row r="35" spans="4:5" ht="15">
      <c r="D35" s="18" t="s">
        <v>24</v>
      </c>
      <c r="E35" s="86">
        <f>D32/(1/7%-1/(7%*(1.07)^8))</f>
        <v>-3678.7835428055214</v>
      </c>
    </row>
    <row r="37" ht="13.5">
      <c r="B37" s="1" t="s">
        <v>79</v>
      </c>
    </row>
  </sheetData>
  <printOptions/>
  <pageMargins left="0.68" right="0.6" top="0.51" bottom="0.43" header="0" footer="0"/>
  <pageSetup fitToHeight="1" fitToWidth="1" horizontalDpi="600" verticalDpi="600" orientation="portrait" scale="89" r:id="rId1"/>
  <headerFooter alignWithMargins="0">
    <oddHeader>&amp;C&amp;"Book Antiqua,Regular"&amp;8&amp;A</oddHeader>
    <oddFooter>&amp;L&amp;"Book Antiqua,Regular"&amp;8&amp;F&amp;R&amp;"Book Antiqua,Regular"&amp;8&amp;T,&amp;D,&amp;P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R69"/>
  <sheetViews>
    <sheetView workbookViewId="0" topLeftCell="A46">
      <selection activeCell="K25" sqref="K25"/>
    </sheetView>
  </sheetViews>
  <sheetFormatPr defaultColWidth="9.140625" defaultRowHeight="12.75"/>
  <cols>
    <col min="1" max="1" width="2.00390625" style="3" bestFit="1" customWidth="1"/>
    <col min="2" max="2" width="39.140625" style="1" bestFit="1" customWidth="1"/>
    <col min="3" max="3" width="4.57421875" style="1" bestFit="1" customWidth="1"/>
    <col min="4" max="4" width="0" style="1" hidden="1" customWidth="1"/>
    <col min="5" max="14" width="8.00390625" style="1" bestFit="1" customWidth="1"/>
    <col min="15" max="15" width="9.140625" style="1" customWidth="1"/>
    <col min="16" max="17" width="9.421875" style="1" bestFit="1" customWidth="1"/>
    <col min="18" max="16384" width="9.140625" style="1" customWidth="1"/>
  </cols>
  <sheetData>
    <row r="1" spans="1:2" ht="13.5">
      <c r="A1" s="3">
        <v>7</v>
      </c>
      <c r="B1" s="1" t="s">
        <v>82</v>
      </c>
    </row>
    <row r="2" ht="15">
      <c r="B2" s="35" t="s">
        <v>90</v>
      </c>
    </row>
    <row r="3" spans="4:14" s="10" customFormat="1" ht="13.5">
      <c r="D3" s="27">
        <v>0</v>
      </c>
      <c r="E3" s="27">
        <f>D3+1</f>
        <v>1</v>
      </c>
      <c r="F3" s="27">
        <f aca="true" t="shared" si="0" ref="F3:N3">E3+1</f>
        <v>2</v>
      </c>
      <c r="G3" s="27">
        <f t="shared" si="0"/>
        <v>3</v>
      </c>
      <c r="H3" s="27">
        <f t="shared" si="0"/>
        <v>4</v>
      </c>
      <c r="I3" s="27">
        <f t="shared" si="0"/>
        <v>5</v>
      </c>
      <c r="J3" s="27">
        <f t="shared" si="0"/>
        <v>6</v>
      </c>
      <c r="K3" s="27">
        <f t="shared" si="0"/>
        <v>7</v>
      </c>
      <c r="L3" s="27">
        <f t="shared" si="0"/>
        <v>8</v>
      </c>
      <c r="M3" s="27">
        <f t="shared" si="0"/>
        <v>9</v>
      </c>
      <c r="N3" s="27">
        <f t="shared" si="0"/>
        <v>10</v>
      </c>
    </row>
    <row r="4" spans="2:14" ht="13.5">
      <c r="B4" s="1" t="s">
        <v>5</v>
      </c>
      <c r="D4" s="1">
        <v>-100</v>
      </c>
      <c r="E4" s="65">
        <v>-20</v>
      </c>
      <c r="F4" s="4">
        <v>-12</v>
      </c>
      <c r="G4" s="4">
        <v>26</v>
      </c>
      <c r="H4" s="4">
        <f>G4</f>
        <v>26</v>
      </c>
      <c r="I4" s="4">
        <f aca="true" t="shared" si="1" ref="I4:N4">H4</f>
        <v>26</v>
      </c>
      <c r="J4" s="4">
        <f t="shared" si="1"/>
        <v>26</v>
      </c>
      <c r="K4" s="4">
        <f t="shared" si="1"/>
        <v>26</v>
      </c>
      <c r="L4" s="4">
        <f t="shared" si="1"/>
        <v>26</v>
      </c>
      <c r="M4" s="4">
        <f t="shared" si="1"/>
        <v>26</v>
      </c>
      <c r="N4" s="4">
        <f t="shared" si="1"/>
        <v>26</v>
      </c>
    </row>
    <row r="5" spans="2:14" ht="13.5">
      <c r="B5" s="1" t="s">
        <v>85</v>
      </c>
      <c r="E5" s="97">
        <f>NPV(C6,E4:N4)</f>
        <v>99.29064860841714</v>
      </c>
      <c r="F5" s="91">
        <f>NPV(C6,F4:N4)</f>
        <v>127.23390049709053</v>
      </c>
      <c r="G5" s="91">
        <f>NPV($C$6,G4:$N$4)</f>
        <v>149.41261253685778</v>
      </c>
      <c r="H5" s="91">
        <f>NPV($C$6,H4:$N$4)</f>
        <v>135.36562153980643</v>
      </c>
      <c r="I5" s="91">
        <f>NPV($C$6,I4:$N$4)</f>
        <v>120.19487126299094</v>
      </c>
      <c r="J5" s="91">
        <f>NPV($C$6,J4:$N$4)</f>
        <v>103.81046096403021</v>
      </c>
      <c r="K5" s="91">
        <f>NPV($C$6,K4:$N$4)</f>
        <v>86.11529784115264</v>
      </c>
      <c r="L5" s="91">
        <f>NPV($C$6,L4:$N$4)</f>
        <v>67.00452166844485</v>
      </c>
      <c r="M5" s="91">
        <f>NPV($C$6,M4:$N$4)</f>
        <v>46.36488340192044</v>
      </c>
      <c r="N5" s="91">
        <f>NPV($C$6,N4:$N$4)</f>
        <v>24.074074074074073</v>
      </c>
    </row>
    <row r="6" spans="2:14" ht="13.5">
      <c r="B6" s="18" t="s">
        <v>64</v>
      </c>
      <c r="C6" s="5">
        <v>0.08</v>
      </c>
      <c r="E6" s="91"/>
      <c r="F6" s="91"/>
      <c r="G6" s="91"/>
      <c r="H6" s="91"/>
      <c r="I6" s="91"/>
      <c r="J6" s="91"/>
      <c r="K6" s="91"/>
      <c r="L6" s="91"/>
      <c r="M6" s="91"/>
      <c r="N6" s="91"/>
    </row>
    <row r="7" spans="2:14" ht="13.5">
      <c r="B7" s="1" t="s">
        <v>86</v>
      </c>
      <c r="E7" s="91">
        <f>F5</f>
        <v>127.23390049709053</v>
      </c>
      <c r="F7" s="91">
        <f aca="true" t="shared" si="2" ref="F7:N7">G5</f>
        <v>149.41261253685778</v>
      </c>
      <c r="G7" s="91">
        <f t="shared" si="2"/>
        <v>135.36562153980643</v>
      </c>
      <c r="H7" s="91">
        <f t="shared" si="2"/>
        <v>120.19487126299094</v>
      </c>
      <c r="I7" s="91">
        <f t="shared" si="2"/>
        <v>103.81046096403021</v>
      </c>
      <c r="J7" s="91">
        <f t="shared" si="2"/>
        <v>86.11529784115264</v>
      </c>
      <c r="K7" s="91">
        <f t="shared" si="2"/>
        <v>67.00452166844485</v>
      </c>
      <c r="L7" s="91">
        <f t="shared" si="2"/>
        <v>46.36488340192044</v>
      </c>
      <c r="M7" s="91">
        <f t="shared" si="2"/>
        <v>24.074074074074073</v>
      </c>
      <c r="N7" s="91">
        <f t="shared" si="2"/>
        <v>0</v>
      </c>
    </row>
    <row r="8" spans="2:16" ht="13.5">
      <c r="B8" s="1" t="s">
        <v>87</v>
      </c>
      <c r="E8" s="91">
        <f>E7-E5</f>
        <v>27.943251888673387</v>
      </c>
      <c r="F8" s="91">
        <f aca="true" t="shared" si="3" ref="F8:N8">F7-F5</f>
        <v>22.178712039767248</v>
      </c>
      <c r="G8" s="91">
        <f t="shared" si="3"/>
        <v>-14.046990997051353</v>
      </c>
      <c r="H8" s="91">
        <f t="shared" si="3"/>
        <v>-15.170750276815482</v>
      </c>
      <c r="I8" s="91">
        <f t="shared" si="3"/>
        <v>-16.38441029896073</v>
      </c>
      <c r="J8" s="91">
        <f t="shared" si="3"/>
        <v>-17.695163122877574</v>
      </c>
      <c r="K8" s="91">
        <f t="shared" si="3"/>
        <v>-19.110776172707787</v>
      </c>
      <c r="L8" s="91">
        <f t="shared" si="3"/>
        <v>-20.639638266524415</v>
      </c>
      <c r="M8" s="91">
        <f t="shared" si="3"/>
        <v>-22.290809327846365</v>
      </c>
      <c r="N8" s="91">
        <f t="shared" si="3"/>
        <v>-24.074074074074073</v>
      </c>
      <c r="P8" s="4"/>
    </row>
    <row r="9" spans="2:18" ht="13.5">
      <c r="B9" s="1" t="s">
        <v>120</v>
      </c>
      <c r="E9" s="93">
        <f>-E8</f>
        <v>-27.943251888673387</v>
      </c>
      <c r="F9" s="93">
        <f aca="true" t="shared" si="4" ref="F9:N9">-F8</f>
        <v>-22.178712039767248</v>
      </c>
      <c r="G9" s="93">
        <f t="shared" si="4"/>
        <v>14.046990997051353</v>
      </c>
      <c r="H9" s="93">
        <f t="shared" si="4"/>
        <v>15.170750276815482</v>
      </c>
      <c r="I9" s="93">
        <f t="shared" si="4"/>
        <v>16.38441029896073</v>
      </c>
      <c r="J9" s="93">
        <f t="shared" si="4"/>
        <v>17.695163122877574</v>
      </c>
      <c r="K9" s="93">
        <f t="shared" si="4"/>
        <v>19.110776172707787</v>
      </c>
      <c r="L9" s="93">
        <f t="shared" si="4"/>
        <v>20.639638266524415</v>
      </c>
      <c r="M9" s="93">
        <f t="shared" si="4"/>
        <v>22.290809327846365</v>
      </c>
      <c r="N9" s="93">
        <f t="shared" si="4"/>
        <v>24.074074074074073</v>
      </c>
      <c r="Q9" s="4"/>
      <c r="R9" s="4"/>
    </row>
    <row r="10" spans="2:14" ht="13.5">
      <c r="B10" s="1" t="s">
        <v>88</v>
      </c>
      <c r="E10" s="94">
        <f>E4+E8</f>
        <v>7.943251888673387</v>
      </c>
      <c r="F10" s="94">
        <f aca="true" t="shared" si="5" ref="F10:N10">F4+F8</f>
        <v>10.178712039767248</v>
      </c>
      <c r="G10" s="94">
        <f t="shared" si="5"/>
        <v>11.953009002948647</v>
      </c>
      <c r="H10" s="94">
        <f t="shared" si="5"/>
        <v>10.829249723184518</v>
      </c>
      <c r="I10" s="94">
        <f t="shared" si="5"/>
        <v>9.61558970103927</v>
      </c>
      <c r="J10" s="94">
        <f t="shared" si="5"/>
        <v>8.304836877122426</v>
      </c>
      <c r="K10" s="94">
        <f t="shared" si="5"/>
        <v>6.889223827292213</v>
      </c>
      <c r="L10" s="94">
        <f t="shared" si="5"/>
        <v>5.360361733475585</v>
      </c>
      <c r="M10" s="94">
        <f t="shared" si="5"/>
        <v>3.7091906721536354</v>
      </c>
      <c r="N10" s="94">
        <f t="shared" si="5"/>
        <v>1.9259259259259274</v>
      </c>
    </row>
    <row r="11" spans="2:14" ht="15">
      <c r="B11" s="1" t="s">
        <v>89</v>
      </c>
      <c r="E11" s="95">
        <f>(E4+E8)/E5</f>
        <v>0.08000000000000015</v>
      </c>
      <c r="F11" s="95">
        <f aca="true" t="shared" si="6" ref="F11:N11">(F4+F8)/F5</f>
        <v>0.08000000000000004</v>
      </c>
      <c r="G11" s="96">
        <f t="shared" si="6"/>
        <v>0.08000000000000017</v>
      </c>
      <c r="H11" s="96">
        <f t="shared" si="6"/>
        <v>0.08000000000000003</v>
      </c>
      <c r="I11" s="96">
        <f t="shared" si="6"/>
        <v>0.07999999999999995</v>
      </c>
      <c r="J11" s="96">
        <f t="shared" si="6"/>
        <v>0.08000000000000008</v>
      </c>
      <c r="K11" s="96">
        <f t="shared" si="6"/>
        <v>0.08000000000000002</v>
      </c>
      <c r="L11" s="96">
        <f t="shared" si="6"/>
        <v>0.07999999999999996</v>
      </c>
      <c r="M11" s="96">
        <f t="shared" si="6"/>
        <v>0.08000000000000002</v>
      </c>
      <c r="N11" s="96">
        <f t="shared" si="6"/>
        <v>0.08000000000000007</v>
      </c>
    </row>
    <row r="12" spans="5:14" ht="13.5">
      <c r="E12" s="33"/>
      <c r="F12" s="33"/>
      <c r="G12" s="33"/>
      <c r="H12" s="33"/>
      <c r="I12" s="33"/>
      <c r="J12" s="33"/>
      <c r="K12" s="33"/>
      <c r="L12" s="33"/>
      <c r="M12" s="33"/>
      <c r="N12" s="33"/>
    </row>
    <row r="13" ht="15">
      <c r="B13" s="2" t="s">
        <v>121</v>
      </c>
    </row>
    <row r="14" ht="15">
      <c r="B14" s="2" t="s">
        <v>119</v>
      </c>
    </row>
    <row r="15" ht="15">
      <c r="B15" s="2" t="s">
        <v>116</v>
      </c>
    </row>
    <row r="16" ht="15">
      <c r="B16" s="2" t="s">
        <v>117</v>
      </c>
    </row>
    <row r="18" ht="15">
      <c r="B18" s="35" t="s">
        <v>91</v>
      </c>
    </row>
    <row r="19" spans="4:14" ht="13.5">
      <c r="D19" s="27">
        <v>0</v>
      </c>
      <c r="E19" s="27">
        <f>D19+1</f>
        <v>1</v>
      </c>
      <c r="F19" s="27">
        <f aca="true" t="shared" si="7" ref="F19:N19">E19+1</f>
        <v>2</v>
      </c>
      <c r="G19" s="27">
        <f t="shared" si="7"/>
        <v>3</v>
      </c>
      <c r="H19" s="27">
        <f t="shared" si="7"/>
        <v>4</v>
      </c>
      <c r="I19" s="27">
        <f t="shared" si="7"/>
        <v>5</v>
      </c>
      <c r="J19" s="27">
        <f t="shared" si="7"/>
        <v>6</v>
      </c>
      <c r="K19" s="27">
        <f t="shared" si="7"/>
        <v>7</v>
      </c>
      <c r="L19" s="27">
        <f t="shared" si="7"/>
        <v>8</v>
      </c>
      <c r="M19" s="27">
        <f t="shared" si="7"/>
        <v>9</v>
      </c>
      <c r="N19" s="27">
        <f t="shared" si="7"/>
        <v>10</v>
      </c>
    </row>
    <row r="20" spans="2:14" ht="13.5">
      <c r="B20" s="1" t="s">
        <v>5</v>
      </c>
      <c r="D20" s="1">
        <f>D4</f>
        <v>-100</v>
      </c>
      <c r="E20" s="65">
        <f aca="true" t="shared" si="8" ref="E20:N20">E4</f>
        <v>-20</v>
      </c>
      <c r="F20" s="4">
        <f t="shared" si="8"/>
        <v>-12</v>
      </c>
      <c r="G20" s="4">
        <f t="shared" si="8"/>
        <v>26</v>
      </c>
      <c r="H20" s="4">
        <f t="shared" si="8"/>
        <v>26</v>
      </c>
      <c r="I20" s="4">
        <f t="shared" si="8"/>
        <v>26</v>
      </c>
      <c r="J20" s="4">
        <f t="shared" si="8"/>
        <v>26</v>
      </c>
      <c r="K20" s="4">
        <f t="shared" si="8"/>
        <v>26</v>
      </c>
      <c r="L20" s="4">
        <f t="shared" si="8"/>
        <v>26</v>
      </c>
      <c r="M20" s="4">
        <f t="shared" si="8"/>
        <v>26</v>
      </c>
      <c r="N20" s="4">
        <f t="shared" si="8"/>
        <v>26</v>
      </c>
    </row>
    <row r="21" spans="2:14" ht="13.5">
      <c r="B21" s="1" t="s">
        <v>92</v>
      </c>
      <c r="E21" s="97">
        <v>100</v>
      </c>
      <c r="F21" s="91">
        <f>E21-E25</f>
        <v>90</v>
      </c>
      <c r="G21" s="91">
        <f aca="true" t="shared" si="9" ref="G21:N21">F21-F25</f>
        <v>80</v>
      </c>
      <c r="H21" s="91">
        <f t="shared" si="9"/>
        <v>70</v>
      </c>
      <c r="I21" s="91">
        <f t="shared" si="9"/>
        <v>60</v>
      </c>
      <c r="J21" s="91">
        <f t="shared" si="9"/>
        <v>50</v>
      </c>
      <c r="K21" s="91">
        <f t="shared" si="9"/>
        <v>40</v>
      </c>
      <c r="L21" s="91">
        <f t="shared" si="9"/>
        <v>30</v>
      </c>
      <c r="M21" s="91">
        <f t="shared" si="9"/>
        <v>20</v>
      </c>
      <c r="N21" s="91">
        <f t="shared" si="9"/>
        <v>10</v>
      </c>
    </row>
    <row r="22" spans="2:14" ht="13.5">
      <c r="B22" s="18" t="s">
        <v>126</v>
      </c>
      <c r="C22" s="5"/>
      <c r="E22" s="91"/>
      <c r="F22" s="91"/>
      <c r="G22" s="91"/>
      <c r="H22" s="91"/>
      <c r="I22" s="91"/>
      <c r="J22" s="91"/>
      <c r="K22" s="91"/>
      <c r="L22" s="91"/>
      <c r="M22" s="91"/>
      <c r="N22" s="91"/>
    </row>
    <row r="23" spans="2:14" ht="13.5">
      <c r="B23" s="1" t="s">
        <v>93</v>
      </c>
      <c r="E23" s="91">
        <f>F21</f>
        <v>90</v>
      </c>
      <c r="F23" s="91">
        <f aca="true" t="shared" si="10" ref="F23:N23">G21</f>
        <v>80</v>
      </c>
      <c r="G23" s="91">
        <f t="shared" si="10"/>
        <v>70</v>
      </c>
      <c r="H23" s="91">
        <f t="shared" si="10"/>
        <v>60</v>
      </c>
      <c r="I23" s="91">
        <f t="shared" si="10"/>
        <v>50</v>
      </c>
      <c r="J23" s="91">
        <f t="shared" si="10"/>
        <v>40</v>
      </c>
      <c r="K23" s="91">
        <f t="shared" si="10"/>
        <v>30</v>
      </c>
      <c r="L23" s="91">
        <f t="shared" si="10"/>
        <v>20</v>
      </c>
      <c r="M23" s="91">
        <f t="shared" si="10"/>
        <v>10</v>
      </c>
      <c r="N23" s="91">
        <f t="shared" si="10"/>
        <v>0</v>
      </c>
    </row>
    <row r="24" spans="2:14" ht="13.5">
      <c r="B24" s="1" t="s">
        <v>94</v>
      </c>
      <c r="E24" s="91">
        <f>E23-E21</f>
        <v>-10</v>
      </c>
      <c r="F24" s="91">
        <f aca="true" t="shared" si="11" ref="F24:N24">F23-F21</f>
        <v>-10</v>
      </c>
      <c r="G24" s="91">
        <f t="shared" si="11"/>
        <v>-10</v>
      </c>
      <c r="H24" s="91">
        <f t="shared" si="11"/>
        <v>-10</v>
      </c>
      <c r="I24" s="91">
        <f t="shared" si="11"/>
        <v>-10</v>
      </c>
      <c r="J24" s="91">
        <f t="shared" si="11"/>
        <v>-10</v>
      </c>
      <c r="K24" s="91">
        <f t="shared" si="11"/>
        <v>-10</v>
      </c>
      <c r="L24" s="91">
        <f t="shared" si="11"/>
        <v>-10</v>
      </c>
      <c r="M24" s="91">
        <f t="shared" si="11"/>
        <v>-10</v>
      </c>
      <c r="N24" s="91">
        <f t="shared" si="11"/>
        <v>-10</v>
      </c>
    </row>
    <row r="25" spans="2:14" ht="13.5">
      <c r="B25" s="1" t="s">
        <v>97</v>
      </c>
      <c r="E25" s="93">
        <v>10</v>
      </c>
      <c r="F25" s="93">
        <v>10</v>
      </c>
      <c r="G25" s="93">
        <v>10</v>
      </c>
      <c r="H25" s="93">
        <v>10</v>
      </c>
      <c r="I25" s="93">
        <v>10</v>
      </c>
      <c r="J25" s="93">
        <v>10</v>
      </c>
      <c r="K25" s="93">
        <v>10</v>
      </c>
      <c r="L25" s="93">
        <v>10</v>
      </c>
      <c r="M25" s="93">
        <v>10</v>
      </c>
      <c r="N25" s="93">
        <v>10</v>
      </c>
    </row>
    <row r="26" spans="2:14" ht="13.5">
      <c r="B26" s="1" t="s">
        <v>96</v>
      </c>
      <c r="E26" s="94">
        <f>E20-E25</f>
        <v>-30</v>
      </c>
      <c r="F26" s="94">
        <f aca="true" t="shared" si="12" ref="F26:N26">F20-F25</f>
        <v>-22</v>
      </c>
      <c r="G26" s="94">
        <f t="shared" si="12"/>
        <v>16</v>
      </c>
      <c r="H26" s="94">
        <f t="shared" si="12"/>
        <v>16</v>
      </c>
      <c r="I26" s="94">
        <f t="shared" si="12"/>
        <v>16</v>
      </c>
      <c r="J26" s="94">
        <f t="shared" si="12"/>
        <v>16</v>
      </c>
      <c r="K26" s="94">
        <f t="shared" si="12"/>
        <v>16</v>
      </c>
      <c r="L26" s="94">
        <f t="shared" si="12"/>
        <v>16</v>
      </c>
      <c r="M26" s="94">
        <f t="shared" si="12"/>
        <v>16</v>
      </c>
      <c r="N26" s="94">
        <f t="shared" si="12"/>
        <v>16</v>
      </c>
    </row>
    <row r="27" spans="2:14" ht="15">
      <c r="B27" s="37" t="s">
        <v>95</v>
      </c>
      <c r="E27" s="95">
        <f>(E20+E24)/E21</f>
        <v>-0.3</v>
      </c>
      <c r="F27" s="95">
        <f aca="true" t="shared" si="13" ref="F27:N27">(F20+F24)/F21</f>
        <v>-0.24444444444444444</v>
      </c>
      <c r="G27" s="96">
        <f t="shared" si="13"/>
        <v>0.2</v>
      </c>
      <c r="H27" s="96">
        <f t="shared" si="13"/>
        <v>0.22857142857142856</v>
      </c>
      <c r="I27" s="96">
        <f t="shared" si="13"/>
        <v>0.26666666666666666</v>
      </c>
      <c r="J27" s="96">
        <f t="shared" si="13"/>
        <v>0.32</v>
      </c>
      <c r="K27" s="96">
        <f t="shared" si="13"/>
        <v>0.4</v>
      </c>
      <c r="L27" s="96">
        <f t="shared" si="13"/>
        <v>0.5333333333333333</v>
      </c>
      <c r="M27" s="96">
        <f t="shared" si="13"/>
        <v>0.8</v>
      </c>
      <c r="N27" s="96">
        <f t="shared" si="13"/>
        <v>1.6</v>
      </c>
    </row>
    <row r="28" spans="5:14" ht="13.5">
      <c r="E28" s="36"/>
      <c r="F28" s="36"/>
      <c r="G28" s="33"/>
      <c r="H28" s="33"/>
      <c r="I28" s="33"/>
      <c r="J28" s="33"/>
      <c r="K28" s="33"/>
      <c r="L28" s="33"/>
      <c r="M28" s="33"/>
      <c r="N28" s="33"/>
    </row>
    <row r="29" ht="15">
      <c r="B29" s="2" t="s">
        <v>122</v>
      </c>
    </row>
    <row r="30" ht="15">
      <c r="B30" s="2" t="s">
        <v>125</v>
      </c>
    </row>
    <row r="31" ht="15">
      <c r="B31" s="2" t="s">
        <v>118</v>
      </c>
    </row>
    <row r="33" spans="2:7" ht="15">
      <c r="B33" s="56" t="s">
        <v>98</v>
      </c>
      <c r="C33" s="57"/>
      <c r="D33" s="61"/>
      <c r="E33" s="62"/>
      <c r="F33" s="62"/>
      <c r="G33" s="4"/>
    </row>
    <row r="34" ht="15">
      <c r="B34" s="37" t="s">
        <v>99</v>
      </c>
    </row>
    <row r="35" ht="13.5">
      <c r="B35" s="63" t="s">
        <v>123</v>
      </c>
    </row>
    <row r="36" ht="13.5">
      <c r="B36" s="63"/>
    </row>
    <row r="37" ht="13.5">
      <c r="B37" s="1" t="s">
        <v>124</v>
      </c>
    </row>
    <row r="38" spans="2:14" ht="13.5">
      <c r="B38" s="44"/>
      <c r="E38" s="64"/>
      <c r="F38" s="64"/>
      <c r="G38" s="64"/>
      <c r="H38" s="64"/>
      <c r="I38" s="64"/>
      <c r="J38" s="64"/>
      <c r="K38" s="64"/>
      <c r="L38" s="64"/>
      <c r="M38" s="64"/>
      <c r="N38" s="64"/>
    </row>
    <row r="39" spans="2:14" ht="13.5">
      <c r="B39" s="27" t="s">
        <v>133</v>
      </c>
      <c r="C39" s="24"/>
      <c r="D39" s="24"/>
      <c r="E39" s="68">
        <v>1</v>
      </c>
      <c r="F39" s="69">
        <f>E39+1</f>
        <v>2</v>
      </c>
      <c r="G39" s="69">
        <f aca="true" t="shared" si="14" ref="G39:N39">F39+1</f>
        <v>3</v>
      </c>
      <c r="H39" s="69">
        <f t="shared" si="14"/>
        <v>4</v>
      </c>
      <c r="I39" s="69">
        <f t="shared" si="14"/>
        <v>5</v>
      </c>
      <c r="J39" s="69">
        <f t="shared" si="14"/>
        <v>6</v>
      </c>
      <c r="K39" s="69">
        <f t="shared" si="14"/>
        <v>7</v>
      </c>
      <c r="L39" s="69">
        <f t="shared" si="14"/>
        <v>8</v>
      </c>
      <c r="M39" s="69">
        <f t="shared" si="14"/>
        <v>9</v>
      </c>
      <c r="N39" s="69">
        <f t="shared" si="14"/>
        <v>10</v>
      </c>
    </row>
    <row r="40" spans="2:14" ht="13.5">
      <c r="B40" s="10">
        <v>1</v>
      </c>
      <c r="E40" s="4">
        <f>E26</f>
        <v>-30</v>
      </c>
      <c r="F40" s="4">
        <f aca="true" t="shared" si="15" ref="F40:N40">F26</f>
        <v>-22</v>
      </c>
      <c r="G40" s="4">
        <f t="shared" si="15"/>
        <v>16</v>
      </c>
      <c r="H40" s="4">
        <f t="shared" si="15"/>
        <v>16</v>
      </c>
      <c r="I40" s="4">
        <f t="shared" si="15"/>
        <v>16</v>
      </c>
      <c r="J40" s="4">
        <f t="shared" si="15"/>
        <v>16</v>
      </c>
      <c r="K40" s="4">
        <f t="shared" si="15"/>
        <v>16</v>
      </c>
      <c r="L40" s="4">
        <f t="shared" si="15"/>
        <v>16</v>
      </c>
      <c r="M40" s="4">
        <f t="shared" si="15"/>
        <v>16</v>
      </c>
      <c r="N40" s="4">
        <f t="shared" si="15"/>
        <v>16</v>
      </c>
    </row>
    <row r="41" spans="2:14" ht="13.5">
      <c r="B41" s="10">
        <v>2</v>
      </c>
      <c r="E41" s="4"/>
      <c r="F41" s="30">
        <f>E40</f>
        <v>-30</v>
      </c>
      <c r="G41" s="30">
        <f aca="true" t="shared" si="16" ref="G41:N48">F40</f>
        <v>-22</v>
      </c>
      <c r="H41" s="30">
        <f t="shared" si="16"/>
        <v>16</v>
      </c>
      <c r="I41" s="30">
        <f t="shared" si="16"/>
        <v>16</v>
      </c>
      <c r="J41" s="30">
        <f t="shared" si="16"/>
        <v>16</v>
      </c>
      <c r="K41" s="30">
        <f t="shared" si="16"/>
        <v>16</v>
      </c>
      <c r="L41" s="30">
        <f t="shared" si="16"/>
        <v>16</v>
      </c>
      <c r="M41" s="30">
        <f t="shared" si="16"/>
        <v>16</v>
      </c>
      <c r="N41" s="30">
        <f t="shared" si="16"/>
        <v>16</v>
      </c>
    </row>
    <row r="42" spans="2:14" ht="13.5">
      <c r="B42" s="64">
        <v>3</v>
      </c>
      <c r="C42" s="44"/>
      <c r="D42" s="44"/>
      <c r="E42" s="66"/>
      <c r="F42" s="44"/>
      <c r="G42" s="30">
        <f>F41</f>
        <v>-30</v>
      </c>
      <c r="H42" s="30">
        <f t="shared" si="16"/>
        <v>-22</v>
      </c>
      <c r="I42" s="30">
        <f t="shared" si="16"/>
        <v>16</v>
      </c>
      <c r="J42" s="30">
        <f t="shared" si="16"/>
        <v>16</v>
      </c>
      <c r="K42" s="30">
        <f t="shared" si="16"/>
        <v>16</v>
      </c>
      <c r="L42" s="30">
        <f t="shared" si="16"/>
        <v>16</v>
      </c>
      <c r="M42" s="30">
        <f t="shared" si="16"/>
        <v>16</v>
      </c>
      <c r="N42" s="30">
        <f t="shared" si="16"/>
        <v>16</v>
      </c>
    </row>
    <row r="43" spans="2:14" ht="13.5">
      <c r="B43" s="64">
        <v>4</v>
      </c>
      <c r="C43" s="44"/>
      <c r="D43" s="44"/>
      <c r="E43" s="66"/>
      <c r="F43" s="44"/>
      <c r="H43" s="30">
        <f>G42</f>
        <v>-30</v>
      </c>
      <c r="I43" s="30">
        <f t="shared" si="16"/>
        <v>-22</v>
      </c>
      <c r="J43" s="30">
        <f t="shared" si="16"/>
        <v>16</v>
      </c>
      <c r="K43" s="30">
        <f t="shared" si="16"/>
        <v>16</v>
      </c>
      <c r="L43" s="30">
        <f t="shared" si="16"/>
        <v>16</v>
      </c>
      <c r="M43" s="30">
        <f t="shared" si="16"/>
        <v>16</v>
      </c>
      <c r="N43" s="30">
        <f t="shared" si="16"/>
        <v>16</v>
      </c>
    </row>
    <row r="44" spans="2:14" ht="13.5">
      <c r="B44" s="64">
        <v>5</v>
      </c>
      <c r="C44" s="44"/>
      <c r="D44" s="44"/>
      <c r="E44" s="66"/>
      <c r="F44" s="44"/>
      <c r="I44" s="30">
        <f>H43</f>
        <v>-30</v>
      </c>
      <c r="J44" s="30">
        <f t="shared" si="16"/>
        <v>-22</v>
      </c>
      <c r="K44" s="30">
        <f t="shared" si="16"/>
        <v>16</v>
      </c>
      <c r="L44" s="30">
        <f t="shared" si="16"/>
        <v>16</v>
      </c>
      <c r="M44" s="30">
        <f t="shared" si="16"/>
        <v>16</v>
      </c>
      <c r="N44" s="30">
        <f t="shared" si="16"/>
        <v>16</v>
      </c>
    </row>
    <row r="45" spans="2:14" ht="13.5">
      <c r="B45" s="64">
        <v>6</v>
      </c>
      <c r="C45" s="44"/>
      <c r="D45" s="44"/>
      <c r="E45" s="66"/>
      <c r="F45" s="44"/>
      <c r="J45" s="30">
        <f>I44</f>
        <v>-30</v>
      </c>
      <c r="K45" s="30">
        <f t="shared" si="16"/>
        <v>-22</v>
      </c>
      <c r="L45" s="30">
        <f t="shared" si="16"/>
        <v>16</v>
      </c>
      <c r="M45" s="30">
        <f t="shared" si="16"/>
        <v>16</v>
      </c>
      <c r="N45" s="30">
        <f t="shared" si="16"/>
        <v>16</v>
      </c>
    </row>
    <row r="46" spans="2:14" ht="13.5">
      <c r="B46" s="64">
        <v>7</v>
      </c>
      <c r="C46" s="44"/>
      <c r="D46" s="44"/>
      <c r="E46" s="66"/>
      <c r="F46" s="44"/>
      <c r="K46" s="30">
        <f>J45</f>
        <v>-30</v>
      </c>
      <c r="L46" s="30">
        <f t="shared" si="16"/>
        <v>-22</v>
      </c>
      <c r="M46" s="30">
        <f t="shared" si="16"/>
        <v>16</v>
      </c>
      <c r="N46" s="30">
        <f t="shared" si="16"/>
        <v>16</v>
      </c>
    </row>
    <row r="47" spans="2:14" ht="13.5">
      <c r="B47" s="64">
        <v>8</v>
      </c>
      <c r="C47" s="44"/>
      <c r="D47" s="44"/>
      <c r="E47" s="66"/>
      <c r="F47" s="44"/>
      <c r="L47" s="30">
        <f>K46</f>
        <v>-30</v>
      </c>
      <c r="M47" s="30">
        <f t="shared" si="16"/>
        <v>-22</v>
      </c>
      <c r="N47" s="30">
        <f t="shared" si="16"/>
        <v>16</v>
      </c>
    </row>
    <row r="48" spans="2:14" ht="13.5">
      <c r="B48" s="64">
        <v>9</v>
      </c>
      <c r="C48" s="44"/>
      <c r="D48" s="44"/>
      <c r="E48" s="66"/>
      <c r="F48" s="44"/>
      <c r="M48" s="30">
        <f>L47</f>
        <v>-30</v>
      </c>
      <c r="N48" s="30">
        <f t="shared" si="16"/>
        <v>-22</v>
      </c>
    </row>
    <row r="49" spans="2:14" ht="13.5">
      <c r="B49" s="64">
        <v>10</v>
      </c>
      <c r="C49" s="44"/>
      <c r="D49" s="44"/>
      <c r="E49" s="55"/>
      <c r="F49" s="24"/>
      <c r="G49" s="24"/>
      <c r="H49" s="24"/>
      <c r="I49" s="24"/>
      <c r="J49" s="24"/>
      <c r="K49" s="24"/>
      <c r="L49" s="24"/>
      <c r="M49" s="24"/>
      <c r="N49" s="98">
        <f>M48</f>
        <v>-30</v>
      </c>
    </row>
    <row r="50" spans="2:14" ht="14.25" thickBot="1">
      <c r="B50" s="70" t="s">
        <v>127</v>
      </c>
      <c r="C50" s="71"/>
      <c r="D50" s="71"/>
      <c r="E50" s="4">
        <f>SUM(E40:E49)</f>
        <v>-30</v>
      </c>
      <c r="F50" s="4">
        <f aca="true" t="shared" si="17" ref="F50:N50">SUM(F40:F49)</f>
        <v>-52</v>
      </c>
      <c r="G50" s="4">
        <f t="shared" si="17"/>
        <v>-36</v>
      </c>
      <c r="H50" s="4">
        <f t="shared" si="17"/>
        <v>-20</v>
      </c>
      <c r="I50" s="4">
        <f t="shared" si="17"/>
        <v>-4</v>
      </c>
      <c r="J50" s="4">
        <f t="shared" si="17"/>
        <v>12</v>
      </c>
      <c r="K50" s="4">
        <f t="shared" si="17"/>
        <v>28</v>
      </c>
      <c r="L50" s="4">
        <f t="shared" si="17"/>
        <v>44</v>
      </c>
      <c r="M50" s="4">
        <f t="shared" si="17"/>
        <v>60</v>
      </c>
      <c r="N50" s="4">
        <f t="shared" si="17"/>
        <v>76</v>
      </c>
    </row>
    <row r="51" spans="2:14" ht="13.5">
      <c r="B51" s="72" t="s">
        <v>131</v>
      </c>
      <c r="C51" s="73"/>
      <c r="D51" s="73"/>
      <c r="E51" s="58">
        <v>1</v>
      </c>
      <c r="F51" s="59">
        <f>E51+1</f>
        <v>2</v>
      </c>
      <c r="G51" s="59">
        <f aca="true" t="shared" si="18" ref="G51:N51">F51+1</f>
        <v>3</v>
      </c>
      <c r="H51" s="59">
        <f t="shared" si="18"/>
        <v>4</v>
      </c>
      <c r="I51" s="59">
        <f t="shared" si="18"/>
        <v>5</v>
      </c>
      <c r="J51" s="59">
        <f t="shared" si="18"/>
        <v>6</v>
      </c>
      <c r="K51" s="59">
        <f t="shared" si="18"/>
        <v>7</v>
      </c>
      <c r="L51" s="59">
        <f t="shared" si="18"/>
        <v>8</v>
      </c>
      <c r="M51" s="59">
        <f t="shared" si="18"/>
        <v>9</v>
      </c>
      <c r="N51" s="59">
        <f t="shared" si="18"/>
        <v>10</v>
      </c>
    </row>
    <row r="52" spans="2:14" ht="13.5">
      <c r="B52" s="10">
        <v>1</v>
      </c>
      <c r="E52" s="4">
        <f>E21</f>
        <v>100</v>
      </c>
      <c r="F52" s="4">
        <f aca="true" t="shared" si="19" ref="F52:N52">F21</f>
        <v>90</v>
      </c>
      <c r="G52" s="4">
        <f t="shared" si="19"/>
        <v>80</v>
      </c>
      <c r="H52" s="4">
        <f t="shared" si="19"/>
        <v>70</v>
      </c>
      <c r="I52" s="4">
        <f t="shared" si="19"/>
        <v>60</v>
      </c>
      <c r="J52" s="4">
        <f t="shared" si="19"/>
        <v>50</v>
      </c>
      <c r="K52" s="4">
        <f t="shared" si="19"/>
        <v>40</v>
      </c>
      <c r="L52" s="4">
        <f t="shared" si="19"/>
        <v>30</v>
      </c>
      <c r="M52" s="4">
        <f t="shared" si="19"/>
        <v>20</v>
      </c>
      <c r="N52" s="4">
        <f t="shared" si="19"/>
        <v>10</v>
      </c>
    </row>
    <row r="53" spans="2:14" ht="13.5">
      <c r="B53" s="10">
        <v>2</v>
      </c>
      <c r="E53" s="4"/>
      <c r="F53" s="91">
        <f>E52</f>
        <v>100</v>
      </c>
      <c r="G53" s="91">
        <f aca="true" t="shared" si="20" ref="G53:N60">F52</f>
        <v>90</v>
      </c>
      <c r="H53" s="91">
        <f t="shared" si="20"/>
        <v>80</v>
      </c>
      <c r="I53" s="91">
        <f t="shared" si="20"/>
        <v>70</v>
      </c>
      <c r="J53" s="91">
        <f t="shared" si="20"/>
        <v>60</v>
      </c>
      <c r="K53" s="91">
        <f t="shared" si="20"/>
        <v>50</v>
      </c>
      <c r="L53" s="91">
        <f t="shared" si="20"/>
        <v>40</v>
      </c>
      <c r="M53" s="91">
        <f t="shared" si="20"/>
        <v>30</v>
      </c>
      <c r="N53" s="91">
        <f t="shared" si="20"/>
        <v>20</v>
      </c>
    </row>
    <row r="54" spans="2:14" ht="13.5">
      <c r="B54" s="64">
        <v>3</v>
      </c>
      <c r="C54" s="44"/>
      <c r="D54" s="44"/>
      <c r="E54" s="66"/>
      <c r="F54" s="92"/>
      <c r="G54" s="91">
        <f>F53</f>
        <v>100</v>
      </c>
      <c r="H54" s="91">
        <f t="shared" si="20"/>
        <v>90</v>
      </c>
      <c r="I54" s="91">
        <f t="shared" si="20"/>
        <v>80</v>
      </c>
      <c r="J54" s="91">
        <f t="shared" si="20"/>
        <v>70</v>
      </c>
      <c r="K54" s="91">
        <f t="shared" si="20"/>
        <v>60</v>
      </c>
      <c r="L54" s="91">
        <f t="shared" si="20"/>
        <v>50</v>
      </c>
      <c r="M54" s="91">
        <f t="shared" si="20"/>
        <v>40</v>
      </c>
      <c r="N54" s="91">
        <f t="shared" si="20"/>
        <v>30</v>
      </c>
    </row>
    <row r="55" spans="2:14" ht="13.5">
      <c r="B55" s="64">
        <v>4</v>
      </c>
      <c r="C55" s="44"/>
      <c r="D55" s="44"/>
      <c r="E55" s="66"/>
      <c r="F55" s="92"/>
      <c r="G55" s="91"/>
      <c r="H55" s="91">
        <f>G54</f>
        <v>100</v>
      </c>
      <c r="I55" s="91">
        <f t="shared" si="20"/>
        <v>90</v>
      </c>
      <c r="J55" s="91">
        <f t="shared" si="20"/>
        <v>80</v>
      </c>
      <c r="K55" s="91">
        <f t="shared" si="20"/>
        <v>70</v>
      </c>
      <c r="L55" s="91">
        <f t="shared" si="20"/>
        <v>60</v>
      </c>
      <c r="M55" s="91">
        <f t="shared" si="20"/>
        <v>50</v>
      </c>
      <c r="N55" s="91">
        <f t="shared" si="20"/>
        <v>40</v>
      </c>
    </row>
    <row r="56" spans="2:14" ht="13.5">
      <c r="B56" s="64">
        <v>5</v>
      </c>
      <c r="C56" s="44"/>
      <c r="D56" s="44"/>
      <c r="E56" s="66"/>
      <c r="F56" s="92"/>
      <c r="G56" s="91"/>
      <c r="H56" s="91"/>
      <c r="I56" s="91">
        <f>H55</f>
        <v>100</v>
      </c>
      <c r="J56" s="91">
        <f t="shared" si="20"/>
        <v>90</v>
      </c>
      <c r="K56" s="91">
        <f t="shared" si="20"/>
        <v>80</v>
      </c>
      <c r="L56" s="91">
        <f t="shared" si="20"/>
        <v>70</v>
      </c>
      <c r="M56" s="91">
        <f t="shared" si="20"/>
        <v>60</v>
      </c>
      <c r="N56" s="91">
        <f t="shared" si="20"/>
        <v>50</v>
      </c>
    </row>
    <row r="57" spans="2:14" ht="13.5">
      <c r="B57" s="64">
        <v>6</v>
      </c>
      <c r="C57" s="44"/>
      <c r="D57" s="44"/>
      <c r="E57" s="66"/>
      <c r="F57" s="92"/>
      <c r="G57" s="91"/>
      <c r="H57" s="91"/>
      <c r="I57" s="91"/>
      <c r="J57" s="91">
        <f>I56</f>
        <v>100</v>
      </c>
      <c r="K57" s="91">
        <f t="shared" si="20"/>
        <v>90</v>
      </c>
      <c r="L57" s="91">
        <f t="shared" si="20"/>
        <v>80</v>
      </c>
      <c r="M57" s="91">
        <f t="shared" si="20"/>
        <v>70</v>
      </c>
      <c r="N57" s="91">
        <f t="shared" si="20"/>
        <v>60</v>
      </c>
    </row>
    <row r="58" spans="2:14" ht="13.5">
      <c r="B58" s="64">
        <v>7</v>
      </c>
      <c r="C58" s="44"/>
      <c r="D58" s="44"/>
      <c r="E58" s="66"/>
      <c r="F58" s="92"/>
      <c r="G58" s="91"/>
      <c r="H58" s="91"/>
      <c r="I58" s="91"/>
      <c r="J58" s="91"/>
      <c r="K58" s="91">
        <f>J57</f>
        <v>100</v>
      </c>
      <c r="L58" s="91">
        <f t="shared" si="20"/>
        <v>90</v>
      </c>
      <c r="M58" s="91">
        <f t="shared" si="20"/>
        <v>80</v>
      </c>
      <c r="N58" s="91">
        <f t="shared" si="20"/>
        <v>70</v>
      </c>
    </row>
    <row r="59" spans="2:14" ht="13.5">
      <c r="B59" s="64">
        <v>8</v>
      </c>
      <c r="C59" s="44"/>
      <c r="D59" s="44"/>
      <c r="E59" s="66"/>
      <c r="F59" s="92"/>
      <c r="G59" s="91"/>
      <c r="H59" s="91"/>
      <c r="I59" s="91"/>
      <c r="J59" s="91"/>
      <c r="K59" s="91"/>
      <c r="L59" s="91">
        <f>K58</f>
        <v>100</v>
      </c>
      <c r="M59" s="91">
        <f t="shared" si="20"/>
        <v>90</v>
      </c>
      <c r="N59" s="91">
        <f t="shared" si="20"/>
        <v>80</v>
      </c>
    </row>
    <row r="60" spans="2:14" ht="13.5">
      <c r="B60" s="64">
        <v>9</v>
      </c>
      <c r="C60" s="44"/>
      <c r="D60" s="44"/>
      <c r="E60" s="66"/>
      <c r="F60" s="92"/>
      <c r="G60" s="91"/>
      <c r="H60" s="91"/>
      <c r="I60" s="91"/>
      <c r="J60" s="91"/>
      <c r="K60" s="91"/>
      <c r="L60" s="91"/>
      <c r="M60" s="91">
        <f>L59</f>
        <v>100</v>
      </c>
      <c r="N60" s="91">
        <f t="shared" si="20"/>
        <v>90</v>
      </c>
    </row>
    <row r="61" spans="2:14" ht="13.5">
      <c r="B61" s="64">
        <v>10</v>
      </c>
      <c r="C61" s="44"/>
      <c r="D61" s="44"/>
      <c r="E61" s="55"/>
      <c r="F61" s="93"/>
      <c r="G61" s="93"/>
      <c r="H61" s="93"/>
      <c r="I61" s="93"/>
      <c r="J61" s="93"/>
      <c r="K61" s="93"/>
      <c r="L61" s="93"/>
      <c r="M61" s="93"/>
      <c r="N61" s="93">
        <f>M60</f>
        <v>100</v>
      </c>
    </row>
    <row r="62" spans="2:14" ht="14.25" thickBot="1">
      <c r="B62" s="70" t="s">
        <v>128</v>
      </c>
      <c r="C62" s="71"/>
      <c r="D62" s="71"/>
      <c r="E62" s="60">
        <f>SUM(E52:E61)</f>
        <v>100</v>
      </c>
      <c r="F62" s="60">
        <f aca="true" t="shared" si="21" ref="F62:N62">SUM(F52:F61)</f>
        <v>190</v>
      </c>
      <c r="G62" s="60">
        <f t="shared" si="21"/>
        <v>270</v>
      </c>
      <c r="H62" s="60">
        <f t="shared" si="21"/>
        <v>340</v>
      </c>
      <c r="I62" s="60">
        <f t="shared" si="21"/>
        <v>400</v>
      </c>
      <c r="J62" s="60">
        <f t="shared" si="21"/>
        <v>450</v>
      </c>
      <c r="K62" s="60">
        <f t="shared" si="21"/>
        <v>490</v>
      </c>
      <c r="L62" s="60">
        <f t="shared" si="21"/>
        <v>520</v>
      </c>
      <c r="M62" s="60">
        <f t="shared" si="21"/>
        <v>540</v>
      </c>
      <c r="N62" s="60">
        <f t="shared" si="21"/>
        <v>550</v>
      </c>
    </row>
    <row r="63" spans="2:6" ht="15">
      <c r="B63" s="67" t="s">
        <v>132</v>
      </c>
      <c r="C63" s="44"/>
      <c r="D63" s="44"/>
      <c r="E63" s="66"/>
      <c r="F63" s="44"/>
    </row>
    <row r="64" spans="2:14" ht="13.5">
      <c r="B64" s="64" t="s">
        <v>127</v>
      </c>
      <c r="C64" s="44"/>
      <c r="D64" s="44"/>
      <c r="E64" s="108">
        <f>E50/E62</f>
        <v>-0.3</v>
      </c>
      <c r="F64" s="108">
        <f aca="true" t="shared" si="22" ref="F64:N64">F50/F62</f>
        <v>-0.2736842105263158</v>
      </c>
      <c r="G64" s="108">
        <f t="shared" si="22"/>
        <v>-0.13333333333333333</v>
      </c>
      <c r="H64" s="108">
        <f t="shared" si="22"/>
        <v>-0.058823529411764705</v>
      </c>
      <c r="I64" s="108">
        <f t="shared" si="22"/>
        <v>-0.01</v>
      </c>
      <c r="J64" s="108">
        <f t="shared" si="22"/>
        <v>0.02666666666666667</v>
      </c>
      <c r="K64" s="108">
        <f t="shared" si="22"/>
        <v>0.05714285714285714</v>
      </c>
      <c r="L64" s="108">
        <f t="shared" si="22"/>
        <v>0.08461538461538462</v>
      </c>
      <c r="M64" s="108">
        <f t="shared" si="22"/>
        <v>0.1111111111111111</v>
      </c>
      <c r="N64" s="109">
        <f t="shared" si="22"/>
        <v>0.13818181818181818</v>
      </c>
    </row>
    <row r="65" spans="2:14" ht="13.5">
      <c r="B65" s="10" t="s">
        <v>128</v>
      </c>
      <c r="E65" s="108"/>
      <c r="F65" s="108"/>
      <c r="G65" s="108"/>
      <c r="H65" s="108"/>
      <c r="I65" s="108"/>
      <c r="J65" s="108"/>
      <c r="K65" s="108"/>
      <c r="L65" s="108"/>
      <c r="M65" s="108"/>
      <c r="N65" s="110"/>
    </row>
    <row r="66" spans="2:14" ht="15">
      <c r="B66" s="10"/>
      <c r="E66" s="74"/>
      <c r="F66" s="74"/>
      <c r="G66" s="74"/>
      <c r="H66" s="74"/>
      <c r="I66" s="74"/>
      <c r="J66" s="74"/>
      <c r="K66" s="74"/>
      <c r="L66" s="74"/>
      <c r="M66" s="74"/>
      <c r="N66" s="75"/>
    </row>
    <row r="67" ht="13.5">
      <c r="B67" s="1" t="s">
        <v>129</v>
      </c>
    </row>
    <row r="68" spans="2:5" ht="13.5">
      <c r="B68" s="24"/>
      <c r="C68" s="24"/>
      <c r="D68" s="24"/>
      <c r="E68" s="24"/>
    </row>
    <row r="69" ht="13.5">
      <c r="B69" s="1" t="s">
        <v>134</v>
      </c>
    </row>
  </sheetData>
  <mergeCells count="10">
    <mergeCell ref="M64:M65"/>
    <mergeCell ref="N64:N65"/>
    <mergeCell ref="I64:I65"/>
    <mergeCell ref="J64:J65"/>
    <mergeCell ref="K64:K65"/>
    <mergeCell ref="L64:L65"/>
    <mergeCell ref="E64:E65"/>
    <mergeCell ref="F64:F65"/>
    <mergeCell ref="G64:G65"/>
    <mergeCell ref="H64:H65"/>
  </mergeCells>
  <printOptions/>
  <pageMargins left="0.37" right="0.27" top="0.33" bottom="0.43" header="0.17" footer="0.38"/>
  <pageSetup fitToHeight="1" fitToWidth="1" horizontalDpi="600" verticalDpi="600" orientation="portrait" scale="79" r:id="rId2"/>
  <headerFooter alignWithMargins="0">
    <oddHeader>&amp;C&amp;"Book Antiqua,Regular"&amp;8&amp;A</oddHeader>
    <oddFooter>&amp;L&amp;"Book Antiqua,Regular"&amp;8&amp;F&amp;R&amp;"Book Antiqua,Regular"&amp;8&amp;T,&amp;D,&amp;P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E10"/>
  <sheetViews>
    <sheetView workbookViewId="0" topLeftCell="A1">
      <selection activeCell="G8" sqref="G8"/>
    </sheetView>
  </sheetViews>
  <sheetFormatPr defaultColWidth="9.140625" defaultRowHeight="12.75"/>
  <cols>
    <col min="1" max="1" width="2.00390625" style="3" bestFit="1" customWidth="1"/>
    <col min="2" max="2" width="9.140625" style="1" customWidth="1"/>
    <col min="3" max="3" width="10.7109375" style="10" bestFit="1" customWidth="1"/>
    <col min="4" max="4" width="9.140625" style="10" customWidth="1"/>
    <col min="5" max="5" width="9.140625" style="34" customWidth="1"/>
    <col min="6" max="16384" width="9.140625" style="1" customWidth="1"/>
  </cols>
  <sheetData>
    <row r="1" spans="1:2" ht="13.5">
      <c r="A1" s="3">
        <v>8</v>
      </c>
      <c r="B1" s="1" t="s">
        <v>81</v>
      </c>
    </row>
    <row r="3" spans="2:5" ht="15">
      <c r="B3" s="76" t="s">
        <v>83</v>
      </c>
      <c r="C3" s="77" t="s">
        <v>84</v>
      </c>
      <c r="D3" s="77" t="s">
        <v>6</v>
      </c>
      <c r="E3" s="78" t="s">
        <v>113</v>
      </c>
    </row>
    <row r="4" spans="2:5" ht="13.5">
      <c r="B4" s="79">
        <v>1</v>
      </c>
      <c r="C4" s="80">
        <v>300</v>
      </c>
      <c r="D4" s="80">
        <v>66</v>
      </c>
      <c r="E4" s="81">
        <f>D4/C4</f>
        <v>0.22</v>
      </c>
    </row>
    <row r="5" spans="2:5" ht="13.5">
      <c r="B5" s="79">
        <f aca="true" t="shared" si="0" ref="B5:B10">1+B4</f>
        <v>2</v>
      </c>
      <c r="C5" s="64">
        <v>200</v>
      </c>
      <c r="D5" s="64">
        <v>-4</v>
      </c>
      <c r="E5" s="82">
        <f aca="true" t="shared" si="1" ref="E5:E10">D5/C5</f>
        <v>-0.02</v>
      </c>
    </row>
    <row r="6" spans="2:5" ht="13.5">
      <c r="B6" s="79">
        <f t="shared" si="0"/>
        <v>3</v>
      </c>
      <c r="C6" s="80">
        <v>250</v>
      </c>
      <c r="D6" s="80">
        <v>43</v>
      </c>
      <c r="E6" s="81">
        <f t="shared" si="1"/>
        <v>0.172</v>
      </c>
    </row>
    <row r="7" spans="2:5" ht="13.5">
      <c r="B7" s="79">
        <f t="shared" si="0"/>
        <v>4</v>
      </c>
      <c r="C7" s="80">
        <v>100</v>
      </c>
      <c r="D7" s="80">
        <v>14</v>
      </c>
      <c r="E7" s="81">
        <f t="shared" si="1"/>
        <v>0.14</v>
      </c>
    </row>
    <row r="8" spans="2:5" ht="13.5">
      <c r="B8" s="79">
        <f t="shared" si="0"/>
        <v>5</v>
      </c>
      <c r="C8" s="64">
        <v>100</v>
      </c>
      <c r="D8" s="64">
        <v>7</v>
      </c>
      <c r="E8" s="82">
        <f t="shared" si="1"/>
        <v>0.07</v>
      </c>
    </row>
    <row r="9" spans="2:5" ht="13.5">
      <c r="B9" s="79">
        <f t="shared" si="0"/>
        <v>6</v>
      </c>
      <c r="C9" s="80">
        <v>350</v>
      </c>
      <c r="D9" s="80">
        <v>63</v>
      </c>
      <c r="E9" s="81">
        <f t="shared" si="1"/>
        <v>0.18</v>
      </c>
    </row>
    <row r="10" spans="2:5" ht="13.5">
      <c r="B10" s="83">
        <f t="shared" si="0"/>
        <v>7</v>
      </c>
      <c r="C10" s="27">
        <v>400</v>
      </c>
      <c r="D10" s="27">
        <v>48</v>
      </c>
      <c r="E10" s="84">
        <f t="shared" si="1"/>
        <v>0.12</v>
      </c>
    </row>
  </sheetData>
  <printOptions/>
  <pageMargins left="0.68" right="0.6" top="0.66" bottom="0.43" header="0" footer="0"/>
  <pageSetup fitToHeight="1" fitToWidth="1" horizontalDpi="600" verticalDpi="600" orientation="portrait" scale="96" r:id="rId2"/>
  <headerFooter alignWithMargins="0">
    <oddHeader>&amp;C&amp;"Book Antiqua,Regular"&amp;8&amp;A</oddHeader>
    <oddFooter>&amp;L&amp;"Book Antiqua,Regular"&amp;8&amp;F&amp;R&amp;"Book Antiqua,Regular"&amp;8&amp;T,&amp;D,&amp;P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MIT SLOAN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Xiaoyin Zhang</dc:creator>
  <cp:keywords/>
  <dc:description/>
  <cp:lastModifiedBy>MIT</cp:lastModifiedBy>
  <cp:lastPrinted>1999-03-07T21:56:13Z</cp:lastPrinted>
  <dcterms:created xsi:type="dcterms:W3CDTF">1999-03-04T04:00:28Z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