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1.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xr:revisionPtr revIDLastSave="129" documentId="11_DA1398FE0B8DF962D095EE4DF8DA9E12399FE0C3" xr6:coauthVersionLast="45" xr6:coauthVersionMax="45" xr10:uidLastSave="{F487DEC5-9D34-4F67-873B-EEB60AC5AD49}"/>
  <bookViews>
    <workbookView xWindow="-120" yWindow="-120" windowWidth="29040" windowHeight="15840" tabRatio="879" xr2:uid="{00000000-000D-0000-FFFF-FFFF00000000}"/>
  </bookViews>
  <sheets>
    <sheet name="Data Entry" sheetId="1" r:id="rId1"/>
    <sheet name="Options and Things to Try" sheetId="2" r:id="rId2"/>
    <sheet name="Explore" sheetId="3" r:id="rId3"/>
    <sheet name="Printouts" sheetId="9" r:id="rId4"/>
    <sheet name="Absences" sheetId="7" state="hidden" r:id="rId5"/>
  </sheets>
  <definedNames>
    <definedName name="ColorTable">'Options and Things to Try'!$B$36</definedName>
    <definedName name="Greenthreshold">'Options and Things to Try'!$B$37</definedName>
    <definedName name="PercentageBreakdownCells">'Data Entry'!$M$4:$R$4</definedName>
    <definedName name="_xlnm.Print_Area" localSheetId="0">'Data Entry'!$A$1:$R$24</definedName>
    <definedName name="_xlnm.Print_Area" localSheetId="3">Printouts!$C$2:$Q$38</definedName>
    <definedName name="_xlnm.Print_Titles" localSheetId="0">'Data Entry'!$A:$K,'Data Entry'!$1:$14</definedName>
    <definedName name="_xlnm.Print_Titles" localSheetId="3">Printouts!$C:$G,Printouts!$16:$16</definedName>
    <definedName name="Yellowthreshold">'Options and Things to Try'!$B$38</definedName>
  </definedNames>
  <calcPr calcId="191029"/>
  <pivotCaches>
    <pivotCache cacheId="0"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7" l="1"/>
  <c r="G2" i="7" s="1"/>
  <c r="H2" i="7" s="1"/>
  <c r="I2" i="7" s="1"/>
  <c r="J2" i="7" s="1"/>
  <c r="K2" i="7" s="1"/>
  <c r="L2" i="7" s="1"/>
  <c r="M2" i="7" s="1"/>
  <c r="N2" i="7" s="1"/>
  <c r="O2" i="7" s="1"/>
  <c r="P2" i="7" s="1"/>
  <c r="Q2" i="7" s="1"/>
  <c r="R2" i="7" s="1"/>
  <c r="S2" i="7" s="1"/>
  <c r="T2" i="7" s="1"/>
  <c r="U2" i="7" s="1"/>
  <c r="V2" i="7" s="1"/>
  <c r="W2" i="7" s="1"/>
  <c r="X2" i="7" s="1"/>
  <c r="Y2" i="7" s="1"/>
  <c r="Z2" i="7" s="1"/>
  <c r="AA2" i="7" s="1"/>
  <c r="AB2" i="7" s="1"/>
  <c r="AC2" i="7" s="1"/>
  <c r="AD2" i="7" s="1"/>
  <c r="AE2" i="7" s="1"/>
  <c r="AF2" i="7" s="1"/>
  <c r="AG2" i="7" s="1"/>
  <c r="AH2" i="7" s="1"/>
  <c r="AI2" i="7" s="1"/>
  <c r="AJ2" i="7" s="1"/>
  <c r="AK2" i="7" s="1"/>
  <c r="AL2" i="7" s="1"/>
  <c r="AM2" i="7" s="1"/>
  <c r="AN2" i="7" s="1"/>
  <c r="AO2" i="7" s="1"/>
  <c r="AP2" i="7" s="1"/>
  <c r="AQ2" i="7" s="1"/>
  <c r="AR2" i="7" s="1"/>
  <c r="AS2" i="7" s="1"/>
  <c r="AT2" i="7" s="1"/>
  <c r="AU2" i="7" s="1"/>
  <c r="AV2" i="7" s="1"/>
  <c r="AW2" i="7" s="1"/>
  <c r="AX2" i="7" s="1"/>
  <c r="AY2" i="7" s="1"/>
  <c r="AZ2" i="7" s="1"/>
  <c r="BA2" i="7" s="1"/>
  <c r="BB2" i="7" s="1"/>
  <c r="BC2" i="7" s="1"/>
  <c r="BD2" i="7" s="1"/>
  <c r="BE2" i="7" s="1"/>
  <c r="BF2" i="7" s="1"/>
  <c r="BG2" i="7" s="1"/>
  <c r="BH2" i="7" s="1"/>
  <c r="BI2" i="7" s="1"/>
  <c r="BJ2" i="7" s="1"/>
  <c r="BK2" i="7" s="1"/>
  <c r="BL2" i="7" s="1"/>
  <c r="BM2" i="7" s="1"/>
  <c r="BN2" i="7" s="1"/>
  <c r="BO2" i="7" s="1"/>
  <c r="BP2" i="7" s="1"/>
  <c r="BQ2" i="7" s="1"/>
  <c r="BR2" i="7" s="1"/>
  <c r="BS2" i="7" s="1"/>
  <c r="BT2" i="7" s="1"/>
  <c r="BU2" i="7" s="1"/>
  <c r="BV2" i="7" s="1"/>
  <c r="BW2" i="7" s="1"/>
  <c r="BX2" i="7" s="1"/>
  <c r="BY2" i="7" s="1"/>
  <c r="BZ2" i="7" s="1"/>
  <c r="CA2" i="7" s="1"/>
  <c r="CB2" i="7" s="1"/>
  <c r="CC2" i="7" s="1"/>
  <c r="CD2" i="7" s="1"/>
  <c r="CE2" i="7" s="1"/>
  <c r="CF2" i="7" s="1"/>
  <c r="CG2" i="7" s="1"/>
  <c r="CH2" i="7" s="1"/>
  <c r="CI2" i="7" s="1"/>
  <c r="CJ2" i="7" s="1"/>
  <c r="CK2" i="7" s="1"/>
  <c r="CL2" i="7" s="1"/>
  <c r="CM2" i="7" s="1"/>
  <c r="CN2" i="7" s="1"/>
  <c r="CO2" i="7" s="1"/>
  <c r="CP2" i="7" s="1"/>
  <c r="CQ2" i="7" s="1"/>
  <c r="CR2" i="7" s="1"/>
  <c r="CS2" i="7" s="1"/>
  <c r="CT2" i="7" s="1"/>
  <c r="CU2" i="7" s="1"/>
  <c r="CV2" i="7" s="1"/>
  <c r="CW2" i="7" s="1"/>
  <c r="CX2" i="7" s="1"/>
  <c r="CY2" i="7" s="1"/>
  <c r="CZ2" i="7" s="1"/>
  <c r="DA2" i="7" s="1"/>
  <c r="DB2" i="7" s="1"/>
  <c r="DC2" i="7" s="1"/>
  <c r="DD2" i="7" s="1"/>
  <c r="DE2" i="7" s="1"/>
  <c r="DF2" i="7" s="1"/>
  <c r="DG2" i="7" s="1"/>
  <c r="DH2" i="7" s="1"/>
  <c r="DI2" i="7" s="1"/>
  <c r="DJ2" i="7" s="1"/>
  <c r="DK2" i="7" s="1"/>
  <c r="DL2" i="7" s="1"/>
  <c r="DM2" i="7" s="1"/>
  <c r="DN2" i="7" s="1"/>
  <c r="DO2" i="7" s="1"/>
  <c r="DP2" i="7" s="1"/>
  <c r="DQ2" i="7" s="1"/>
  <c r="DR2" i="7" s="1"/>
  <c r="DS2" i="7" s="1"/>
  <c r="DT2" i="7" s="1"/>
  <c r="DU2" i="7" s="1"/>
  <c r="DV2" i="7" s="1"/>
  <c r="DW2" i="7" s="1"/>
  <c r="DX2" i="7" s="1"/>
  <c r="DY2" i="7" s="1"/>
  <c r="DZ2" i="7" s="1"/>
  <c r="EA2" i="7" s="1"/>
  <c r="EB2" i="7" s="1"/>
  <c r="EC2" i="7" s="1"/>
  <c r="ED2" i="7" s="1"/>
  <c r="EE2" i="7" s="1"/>
  <c r="EF2" i="7" s="1"/>
  <c r="EG2" i="7" s="1"/>
  <c r="EH2" i="7" s="1"/>
  <c r="EI2" i="7" s="1"/>
  <c r="EJ2" i="7" s="1"/>
  <c r="EK2" i="7" s="1"/>
  <c r="EL2" i="7" s="1"/>
  <c r="EM2" i="7" s="1"/>
  <c r="EN2" i="7" s="1"/>
  <c r="EO2" i="7" s="1"/>
  <c r="EP2" i="7" s="1"/>
  <c r="EQ2" i="7" s="1"/>
  <c r="ER2" i="7" s="1"/>
  <c r="ES2" i="7" s="1"/>
  <c r="ET2" i="7" s="1"/>
  <c r="EU2" i="7" s="1"/>
  <c r="EV2" i="7" s="1"/>
  <c r="EW2" i="7" s="1"/>
  <c r="EX2" i="7" s="1"/>
  <c r="EY2" i="7" s="1"/>
  <c r="EZ2" i="7" s="1"/>
  <c r="FA2" i="7" s="1"/>
  <c r="FB2" i="7" s="1"/>
  <c r="FC2" i="7" s="1"/>
  <c r="FD2" i="7" s="1"/>
  <c r="FE2" i="7" s="1"/>
  <c r="FF2" i="7" s="1"/>
  <c r="FG2" i="7" s="1"/>
  <c r="FH2" i="7" s="1"/>
  <c r="FI2" i="7" s="1"/>
  <c r="FJ2" i="7" s="1"/>
  <c r="FK2" i="7" s="1"/>
  <c r="FL2" i="7" s="1"/>
  <c r="FM2" i="7" s="1"/>
  <c r="FN2" i="7" s="1"/>
  <c r="FO2" i="7" s="1"/>
  <c r="FP2" i="7" s="1"/>
  <c r="FQ2" i="7" s="1"/>
  <c r="FR2" i="7" s="1"/>
  <c r="FS2" i="7" s="1"/>
  <c r="FT2" i="7" s="1"/>
  <c r="FU2" i="7" s="1"/>
  <c r="FV2" i="7" s="1"/>
  <c r="FW2" i="7" s="1"/>
  <c r="FX2" i="7" s="1"/>
  <c r="FY2" i="7" s="1"/>
  <c r="FZ2" i="7" s="1"/>
  <c r="GA2" i="7" s="1"/>
  <c r="GB2" i="7" s="1"/>
  <c r="GC2" i="7" s="1"/>
  <c r="GD2" i="7" s="1"/>
  <c r="GE2" i="7" s="1"/>
  <c r="GF2" i="7" s="1"/>
  <c r="GG2" i="7" s="1"/>
  <c r="GH2" i="7" s="1"/>
  <c r="GI2" i="7" s="1"/>
  <c r="GJ2" i="7" s="1"/>
  <c r="GK2" i="7" s="1"/>
  <c r="GL2" i="7" s="1"/>
  <c r="GM2" i="7" s="1"/>
  <c r="GN2" i="7" s="1"/>
  <c r="GO2" i="7" s="1"/>
  <c r="GP2" i="7" s="1"/>
  <c r="GQ2" i="7" s="1"/>
  <c r="GR2" i="7" s="1"/>
  <c r="GS2" i="7" s="1"/>
  <c r="GT2" i="7" s="1"/>
  <c r="GU2" i="7" s="1"/>
  <c r="GV2" i="7" s="1"/>
  <c r="GW2" i="7" s="1"/>
  <c r="GX2" i="7" s="1"/>
  <c r="GY2" i="7" s="1"/>
  <c r="GZ2" i="7" s="1"/>
  <c r="HA2" i="7" s="1"/>
  <c r="HB2" i="7" s="1"/>
  <c r="HC2" i="7" s="1"/>
  <c r="HD2" i="7" s="1"/>
  <c r="HE2" i="7" s="1"/>
  <c r="HF2" i="7" s="1"/>
  <c r="HG2" i="7" s="1"/>
  <c r="HH2" i="7" s="1"/>
  <c r="HI2" i="7" s="1"/>
  <c r="HJ2" i="7" s="1"/>
  <c r="HK2" i="7" s="1"/>
  <c r="HL2" i="7" s="1"/>
  <c r="HM2" i="7" s="1"/>
  <c r="HN2" i="7" s="1"/>
  <c r="HO2" i="7" s="1"/>
  <c r="HP2" i="7" s="1"/>
  <c r="HQ2" i="7" s="1"/>
  <c r="HR2" i="7" s="1"/>
  <c r="HS2" i="7" s="1"/>
  <c r="HT2" i="7" s="1"/>
  <c r="HU2" i="7" s="1"/>
  <c r="HV2" i="7" s="1"/>
  <c r="HW2" i="7" s="1"/>
  <c r="HX2" i="7" s="1"/>
  <c r="HY2" i="7" s="1"/>
  <c r="HZ2" i="7" s="1"/>
  <c r="IA2" i="7" s="1"/>
  <c r="IB2" i="7" s="1"/>
  <c r="IC2" i="7" s="1"/>
  <c r="ID2" i="7" s="1"/>
  <c r="IE2" i="7" s="1"/>
  <c r="IF2" i="7" s="1"/>
  <c r="IG2" i="7" s="1"/>
  <c r="IH2" i="7" s="1"/>
  <c r="II2" i="7" s="1"/>
  <c r="IJ2" i="7" s="1"/>
  <c r="IK2" i="7" s="1"/>
  <c r="IL2" i="7" s="1"/>
  <c r="IM2" i="7" s="1"/>
  <c r="IN2" i="7" s="1"/>
  <c r="IO2" i="7" s="1"/>
  <c r="IP2" i="7" s="1"/>
  <c r="IQ2" i="7" s="1"/>
  <c r="IR2" i="7" s="1"/>
  <c r="IS2" i="7" s="1"/>
  <c r="IT2" i="7" s="1"/>
  <c r="IU2" i="7" s="1"/>
  <c r="IV2" i="7" s="1"/>
  <c r="IW2" i="7" s="1"/>
  <c r="IX2" i="7" s="1"/>
  <c r="IY2" i="7" s="1"/>
  <c r="IZ2" i="7" s="1"/>
  <c r="JA2" i="7" s="1"/>
  <c r="JB2" i="7" s="1"/>
  <c r="JC2" i="7" s="1"/>
  <c r="JD2" i="7" s="1"/>
  <c r="JE2" i="7" s="1"/>
  <c r="JF2" i="7" s="1"/>
  <c r="JG2" i="7" s="1"/>
  <c r="JH2" i="7" s="1"/>
  <c r="JI2" i="7" s="1"/>
  <c r="JJ2" i="7" s="1"/>
  <c r="JK2" i="7" s="1"/>
  <c r="JL2" i="7" s="1"/>
  <c r="JM2" i="7" s="1"/>
  <c r="JN2" i="7" s="1"/>
  <c r="JO2" i="7" s="1"/>
  <c r="JP2" i="7" s="1"/>
  <c r="JQ2" i="7" s="1"/>
  <c r="JR2" i="7" s="1"/>
  <c r="JS2" i="7" s="1"/>
  <c r="JT2" i="7" s="1"/>
  <c r="JU2" i="7" s="1"/>
  <c r="JV2" i="7" s="1"/>
  <c r="JW2" i="7" s="1"/>
  <c r="JX2" i="7" s="1"/>
  <c r="JY2" i="7" s="1"/>
  <c r="JZ2" i="7" s="1"/>
  <c r="KA2" i="7" s="1"/>
  <c r="KB2" i="7" s="1"/>
  <c r="KC2" i="7" s="1"/>
  <c r="KD2" i="7" s="1"/>
  <c r="KE2" i="7" s="1"/>
  <c r="KF2" i="7" s="1"/>
  <c r="KG2" i="7" s="1"/>
  <c r="KH2" i="7" s="1"/>
  <c r="KI2" i="7" s="1"/>
  <c r="KJ2" i="7" s="1"/>
  <c r="KK2" i="7" s="1"/>
  <c r="KL2" i="7" s="1"/>
  <c r="KM2" i="7" s="1"/>
  <c r="KN2" i="7" s="1"/>
  <c r="KO2" i="7" s="1"/>
  <c r="KP2" i="7" s="1"/>
  <c r="KQ2" i="7" s="1"/>
  <c r="KR2" i="7" s="1"/>
  <c r="KS2" i="7" s="1"/>
  <c r="KT2" i="7" s="1"/>
  <c r="KU2" i="7" s="1"/>
  <c r="KV2" i="7" s="1"/>
  <c r="KW2" i="7" s="1"/>
  <c r="KX2" i="7" s="1"/>
  <c r="KY2" i="7" s="1"/>
  <c r="KZ2" i="7" s="1"/>
  <c r="LA2" i="7" s="1"/>
  <c r="LB2" i="7" s="1"/>
  <c r="LC2" i="7" s="1"/>
  <c r="LD2" i="7" s="1"/>
  <c r="LE2" i="7" s="1"/>
  <c r="LF2" i="7" s="1"/>
  <c r="LG2" i="7" s="1"/>
  <c r="LH2" i="7" s="1"/>
  <c r="LI2" i="7" s="1"/>
  <c r="LJ2" i="7" s="1"/>
  <c r="LK2" i="7" s="1"/>
  <c r="LL2" i="7" s="1"/>
  <c r="LM2" i="7" s="1"/>
  <c r="LN2" i="7" s="1"/>
  <c r="LO2" i="7" s="1"/>
  <c r="LP2" i="7" s="1"/>
  <c r="LQ2" i="7" s="1"/>
  <c r="LR2" i="7" s="1"/>
  <c r="LS2" i="7" s="1"/>
  <c r="LT2" i="7" s="1"/>
  <c r="LU2" i="7" s="1"/>
  <c r="LV2" i="7" s="1"/>
  <c r="LW2" i="7" s="1"/>
  <c r="LX2" i="7" s="1"/>
  <c r="LY2" i="7" s="1"/>
  <c r="LZ2" i="7" s="1"/>
  <c r="MA2" i="7" s="1"/>
  <c r="MB2" i="7" s="1"/>
  <c r="MC2" i="7" s="1"/>
  <c r="MD2" i="7" s="1"/>
  <c r="ME2" i="7" s="1"/>
  <c r="MF2" i="7" s="1"/>
  <c r="MG2" i="7" s="1"/>
  <c r="MH2" i="7" s="1"/>
  <c r="MI2" i="7" s="1"/>
  <c r="MJ2" i="7" s="1"/>
  <c r="MK2" i="7" s="1"/>
  <c r="ML2" i="7" s="1"/>
  <c r="MM2" i="7" s="1"/>
  <c r="MN2" i="7" s="1"/>
  <c r="MO2" i="7" s="1"/>
  <c r="MP2" i="7" s="1"/>
  <c r="MQ2" i="7" s="1"/>
  <c r="MR2" i="7" s="1"/>
  <c r="MS2" i="7" s="1"/>
  <c r="MT2" i="7" s="1"/>
  <c r="MU2" i="7" s="1"/>
  <c r="MV2" i="7" s="1"/>
  <c r="MW2" i="7" s="1"/>
  <c r="MX2" i="7" s="1"/>
  <c r="MY2" i="7" s="1"/>
  <c r="MZ2" i="7" s="1"/>
  <c r="NA2" i="7" s="1"/>
  <c r="NB2" i="7" s="1"/>
  <c r="NC2" i="7" s="1"/>
  <c r="ND2" i="7" s="1"/>
  <c r="NE2" i="7" s="1"/>
  <c r="D52" i="2"/>
  <c r="O19" i="1" l="1"/>
  <c r="H15" i="9" l="1"/>
  <c r="T11" i="1"/>
  <c r="U11" i="1"/>
  <c r="V11" i="1"/>
  <c r="W11" i="1"/>
  <c r="X11" i="1"/>
  <c r="Y11" i="1"/>
  <c r="Z11" i="1"/>
  <c r="AA11" i="1"/>
  <c r="AB11" i="1"/>
  <c r="AC11" i="1"/>
  <c r="AD11" i="1"/>
  <c r="AE11" i="1"/>
  <c r="AF11" i="1"/>
  <c r="AG11" i="1"/>
  <c r="AH11" i="1"/>
  <c r="AI11" i="1"/>
  <c r="AJ11" i="1"/>
  <c r="AK11" i="1"/>
  <c r="AL11" i="1"/>
  <c r="AM11" i="1"/>
  <c r="AN11" i="1"/>
  <c r="AO11" i="1"/>
  <c r="AP11" i="1"/>
  <c r="AQ11" i="1"/>
  <c r="AR11" i="1"/>
  <c r="AS11" i="1"/>
  <c r="AT11" i="1"/>
  <c r="AU11" i="1"/>
  <c r="AV11" i="1"/>
  <c r="T12" i="1"/>
  <c r="U12" i="1"/>
  <c r="V12" i="1"/>
  <c r="W12" i="1"/>
  <c r="X12" i="1"/>
  <c r="Y12" i="1"/>
  <c r="Z12" i="1"/>
  <c r="AA12" i="1"/>
  <c r="AB12" i="1"/>
  <c r="AC12" i="1"/>
  <c r="AD12" i="1"/>
  <c r="AE12" i="1"/>
  <c r="AF12" i="1"/>
  <c r="AG12" i="1"/>
  <c r="AH12" i="1"/>
  <c r="AI12" i="1"/>
  <c r="AJ12" i="1"/>
  <c r="AK12" i="1"/>
  <c r="AL12" i="1"/>
  <c r="AM12" i="1"/>
  <c r="AN12" i="1"/>
  <c r="AO12" i="1"/>
  <c r="AP12" i="1"/>
  <c r="AQ12" i="1"/>
  <c r="AR12" i="1"/>
  <c r="AS12" i="1"/>
  <c r="AT12" i="1"/>
  <c r="AU12" i="1"/>
  <c r="AV12" i="1"/>
  <c r="T13" i="1"/>
  <c r="U13" i="1"/>
  <c r="V13" i="1"/>
  <c r="W13" i="1"/>
  <c r="X13" i="1"/>
  <c r="Y13" i="1"/>
  <c r="Z13" i="1"/>
  <c r="AA13" i="1"/>
  <c r="AB13" i="1"/>
  <c r="AC13" i="1"/>
  <c r="AD13" i="1"/>
  <c r="AE13" i="1"/>
  <c r="AF13" i="1"/>
  <c r="AG13" i="1"/>
  <c r="AH13" i="1"/>
  <c r="AI13" i="1"/>
  <c r="AJ13" i="1"/>
  <c r="AK13" i="1"/>
  <c r="AL13" i="1"/>
  <c r="AM13" i="1"/>
  <c r="AN13" i="1"/>
  <c r="AO13" i="1"/>
  <c r="AP13" i="1"/>
  <c r="AQ13" i="1"/>
  <c r="AR13" i="1"/>
  <c r="AS13" i="1"/>
  <c r="AT13" i="1"/>
  <c r="AU13" i="1"/>
  <c r="AV13" i="1"/>
  <c r="S13" i="1"/>
  <c r="S12" i="1"/>
  <c r="S11" i="1"/>
  <c r="K13" i="1"/>
  <c r="K12" i="1"/>
  <c r="K11" i="1"/>
  <c r="D38" i="2" l="1"/>
  <c r="D37" i="2"/>
  <c r="D36" i="2"/>
  <c r="A5" i="1" l="1"/>
  <c r="I15" i="9" l="1"/>
  <c r="J15" i="9" s="1"/>
  <c r="K15" i="9" s="1"/>
  <c r="L15" i="9" s="1"/>
  <c r="M15" i="9" s="1"/>
  <c r="N15" i="9" s="1"/>
  <c r="O15" i="9" s="1"/>
  <c r="P15" i="9" s="1"/>
  <c r="Q15" i="9" s="1"/>
  <c r="B30" i="9"/>
  <c r="B31" i="9" s="1"/>
  <c r="B32" i="9" s="1"/>
  <c r="B33" i="9" s="1"/>
  <c r="B34" i="9" s="1"/>
  <c r="B35" i="9" s="1"/>
  <c r="B36" i="9" s="1"/>
  <c r="B37" i="9" s="1"/>
  <c r="B38" i="9" s="1"/>
  <c r="B23" i="9"/>
  <c r="B24" i="9" s="1"/>
  <c r="B25" i="9" s="1"/>
  <c r="B26" i="9" s="1"/>
  <c r="B27" i="9" s="1"/>
  <c r="D51" i="2" l="1"/>
  <c r="B7" i="1" l="1"/>
  <c r="B8" i="1"/>
  <c r="B9" i="1"/>
  <c r="B6" i="1"/>
  <c r="M15" i="1" l="1"/>
  <c r="M16" i="1"/>
  <c r="M17" i="1"/>
  <c r="M18" i="1"/>
  <c r="M19" i="1"/>
  <c r="M20" i="1"/>
  <c r="M21" i="1"/>
  <c r="M22" i="1"/>
  <c r="M23" i="1"/>
  <c r="M24" i="1"/>
  <c r="M3" i="1" l="1"/>
  <c r="C38" i="9"/>
  <c r="D38" i="9"/>
  <c r="E38" i="9"/>
  <c r="F38" i="9"/>
  <c r="G38" i="9"/>
  <c r="H38" i="9"/>
  <c r="I38" i="9"/>
  <c r="J38" i="9"/>
  <c r="K38" i="9"/>
  <c r="L38" i="9"/>
  <c r="M38" i="9"/>
  <c r="N38" i="9"/>
  <c r="O38" i="9"/>
  <c r="P38" i="9"/>
  <c r="Q38" i="9"/>
  <c r="C37" i="9"/>
  <c r="D37" i="9"/>
  <c r="E37" i="9"/>
  <c r="F37" i="9"/>
  <c r="G37" i="9"/>
  <c r="H37" i="9"/>
  <c r="I37" i="9"/>
  <c r="J37" i="9"/>
  <c r="K37" i="9"/>
  <c r="L37" i="9"/>
  <c r="M37" i="9"/>
  <c r="N37" i="9"/>
  <c r="O37" i="9"/>
  <c r="P37" i="9"/>
  <c r="Q37" i="9"/>
  <c r="C23" i="9"/>
  <c r="C24" i="9"/>
  <c r="C25" i="9"/>
  <c r="C26" i="9"/>
  <c r="C27" i="9"/>
  <c r="C22" i="9"/>
  <c r="C6" i="9"/>
  <c r="G23" i="9"/>
  <c r="G24" i="9"/>
  <c r="G25" i="9"/>
  <c r="G26" i="9"/>
  <c r="G27" i="9"/>
  <c r="G22" i="9"/>
  <c r="H16" i="9"/>
  <c r="I16" i="9"/>
  <c r="J16" i="9"/>
  <c r="K16" i="9"/>
  <c r="L16" i="9"/>
  <c r="M16" i="9"/>
  <c r="N16" i="9"/>
  <c r="O16" i="9"/>
  <c r="P16" i="9"/>
  <c r="Q16" i="9"/>
  <c r="C17" i="9"/>
  <c r="C18" i="9"/>
  <c r="C19" i="9"/>
  <c r="C29" i="9"/>
  <c r="D29" i="9"/>
  <c r="E29" i="9"/>
  <c r="F29" i="9"/>
  <c r="G29" i="9"/>
  <c r="C30" i="9"/>
  <c r="D30" i="9"/>
  <c r="E30" i="9"/>
  <c r="F30" i="9"/>
  <c r="G30" i="9"/>
  <c r="H30" i="9"/>
  <c r="I30" i="9"/>
  <c r="J30" i="9"/>
  <c r="K30" i="9"/>
  <c r="L30" i="9"/>
  <c r="M30" i="9"/>
  <c r="N30" i="9"/>
  <c r="O30" i="9"/>
  <c r="P30" i="9"/>
  <c r="Q30" i="9"/>
  <c r="C31" i="9"/>
  <c r="D31" i="9"/>
  <c r="E31" i="9"/>
  <c r="F31" i="9"/>
  <c r="G31" i="9"/>
  <c r="H31" i="9"/>
  <c r="I31" i="9"/>
  <c r="J31" i="9"/>
  <c r="K31" i="9"/>
  <c r="L31" i="9"/>
  <c r="M31" i="9"/>
  <c r="N31" i="9"/>
  <c r="O31" i="9"/>
  <c r="P31" i="9"/>
  <c r="Q31" i="9"/>
  <c r="C32" i="9"/>
  <c r="D32" i="9"/>
  <c r="E32" i="9"/>
  <c r="F32" i="9"/>
  <c r="G32" i="9"/>
  <c r="H32" i="9"/>
  <c r="I32" i="9"/>
  <c r="J32" i="9"/>
  <c r="K32" i="9"/>
  <c r="L32" i="9"/>
  <c r="M32" i="9"/>
  <c r="N32" i="9"/>
  <c r="O32" i="9"/>
  <c r="P32" i="9"/>
  <c r="Q32" i="9"/>
  <c r="C33" i="9"/>
  <c r="D33" i="9"/>
  <c r="E33" i="9"/>
  <c r="F33" i="9"/>
  <c r="G33" i="9"/>
  <c r="H33" i="9"/>
  <c r="I33" i="9"/>
  <c r="J33" i="9"/>
  <c r="K33" i="9"/>
  <c r="L33" i="9"/>
  <c r="M33" i="9"/>
  <c r="N33" i="9"/>
  <c r="O33" i="9"/>
  <c r="P33" i="9"/>
  <c r="Q33" i="9"/>
  <c r="C34" i="9"/>
  <c r="D34" i="9"/>
  <c r="E34" i="9"/>
  <c r="F34" i="9"/>
  <c r="G34" i="9"/>
  <c r="H34" i="9"/>
  <c r="I34" i="9"/>
  <c r="J34" i="9"/>
  <c r="K34" i="9"/>
  <c r="L34" i="9"/>
  <c r="M34" i="9"/>
  <c r="N34" i="9"/>
  <c r="O34" i="9"/>
  <c r="P34" i="9"/>
  <c r="Q34" i="9"/>
  <c r="C35" i="9"/>
  <c r="D35" i="9"/>
  <c r="E35" i="9"/>
  <c r="F35" i="9"/>
  <c r="G35" i="9"/>
  <c r="H35" i="9"/>
  <c r="I35" i="9"/>
  <c r="J35" i="9"/>
  <c r="K35" i="9"/>
  <c r="L35" i="9"/>
  <c r="M35" i="9"/>
  <c r="N35" i="9"/>
  <c r="O35" i="9"/>
  <c r="P35" i="9"/>
  <c r="Q35" i="9"/>
  <c r="C36" i="9"/>
  <c r="D36" i="9"/>
  <c r="E36" i="9"/>
  <c r="F36" i="9"/>
  <c r="G36" i="9"/>
  <c r="H36" i="9"/>
  <c r="I36" i="9"/>
  <c r="J36" i="9"/>
  <c r="K36" i="9"/>
  <c r="L36" i="9"/>
  <c r="M36" i="9"/>
  <c r="N36" i="9"/>
  <c r="O36" i="9"/>
  <c r="P36" i="9"/>
  <c r="Q36" i="9"/>
  <c r="D54" i="2" l="1"/>
  <c r="C54" i="2"/>
  <c r="C52" i="2"/>
  <c r="C44" i="2"/>
  <c r="C45" i="2"/>
  <c r="C46" i="2"/>
  <c r="C47" i="2"/>
  <c r="C48" i="2"/>
  <c r="C49" i="2"/>
  <c r="C50" i="2"/>
  <c r="C51" i="2"/>
  <c r="C53" i="2"/>
  <c r="C43" i="2"/>
  <c r="D53" i="2"/>
  <c r="D50" i="2"/>
  <c r="D49" i="2"/>
  <c r="D48" i="2"/>
  <c r="D47" i="2"/>
  <c r="D46" i="2"/>
  <c r="D45" i="2"/>
  <c r="D44" i="2"/>
  <c r="D43" i="2"/>
  <c r="D5" i="7" l="1"/>
  <c r="D6" i="7"/>
  <c r="D7" i="7"/>
  <c r="D8" i="7"/>
  <c r="D9" i="7"/>
  <c r="D10" i="7"/>
  <c r="D11" i="7"/>
  <c r="D12" i="7"/>
  <c r="D13" i="7"/>
  <c r="C5" i="7"/>
  <c r="C6" i="7"/>
  <c r="C7" i="7"/>
  <c r="C8" i="7"/>
  <c r="C9" i="7"/>
  <c r="C10" i="7"/>
  <c r="C11" i="7"/>
  <c r="C12" i="7"/>
  <c r="C13" i="7"/>
  <c r="D4" i="7"/>
  <c r="C4" i="7"/>
  <c r="S6" i="1" l="1"/>
  <c r="T6" i="1"/>
  <c r="U6" i="1"/>
  <c r="V6" i="1"/>
  <c r="W6" i="1"/>
  <c r="X6" i="1"/>
  <c r="Y6" i="1"/>
  <c r="Z6" i="1"/>
  <c r="AA6" i="1"/>
  <c r="AB6" i="1"/>
  <c r="AC6" i="1"/>
  <c r="AD6" i="1"/>
  <c r="AE6" i="1"/>
  <c r="AF6" i="1"/>
  <c r="AG6" i="1"/>
  <c r="AH6" i="1"/>
  <c r="AI6" i="1"/>
  <c r="AJ6" i="1"/>
  <c r="AK6" i="1"/>
  <c r="AL6" i="1"/>
  <c r="AM6" i="1"/>
  <c r="AN6" i="1"/>
  <c r="AO6" i="1"/>
  <c r="AP6" i="1"/>
  <c r="AQ6" i="1"/>
  <c r="AR6" i="1"/>
  <c r="AS6" i="1"/>
  <c r="AT6" i="1"/>
  <c r="AU6" i="1"/>
  <c r="AV6" i="1"/>
  <c r="S7" i="1"/>
  <c r="T7" i="1"/>
  <c r="U7" i="1"/>
  <c r="V7" i="1"/>
  <c r="W7" i="1"/>
  <c r="X7" i="1"/>
  <c r="Y7" i="1"/>
  <c r="Z7" i="1"/>
  <c r="AA7" i="1"/>
  <c r="AB7" i="1"/>
  <c r="AC7" i="1"/>
  <c r="AD7" i="1"/>
  <c r="AE7" i="1"/>
  <c r="AF7" i="1"/>
  <c r="AG7" i="1"/>
  <c r="AH7" i="1"/>
  <c r="AI7" i="1"/>
  <c r="AJ7" i="1"/>
  <c r="AK7" i="1"/>
  <c r="AL7" i="1"/>
  <c r="AM7" i="1"/>
  <c r="AN7" i="1"/>
  <c r="AO7" i="1"/>
  <c r="AP7" i="1"/>
  <c r="AQ7" i="1"/>
  <c r="AR7" i="1"/>
  <c r="AS7" i="1"/>
  <c r="AT7" i="1"/>
  <c r="AU7" i="1"/>
  <c r="AV7" i="1"/>
  <c r="S8" i="1"/>
  <c r="T8" i="1"/>
  <c r="U8" i="1"/>
  <c r="V8" i="1"/>
  <c r="W8" i="1"/>
  <c r="X8" i="1"/>
  <c r="Y8" i="1"/>
  <c r="Z8" i="1"/>
  <c r="AA8" i="1"/>
  <c r="AB8" i="1"/>
  <c r="AC8" i="1"/>
  <c r="AD8" i="1"/>
  <c r="AE8" i="1"/>
  <c r="AF8" i="1"/>
  <c r="AG8" i="1"/>
  <c r="AH8" i="1"/>
  <c r="AI8" i="1"/>
  <c r="AJ8" i="1"/>
  <c r="AK8" i="1"/>
  <c r="AL8" i="1"/>
  <c r="AM8" i="1"/>
  <c r="AN8" i="1"/>
  <c r="AO8" i="1"/>
  <c r="AP8" i="1"/>
  <c r="AQ8" i="1"/>
  <c r="AR8" i="1"/>
  <c r="AS8" i="1"/>
  <c r="AT8" i="1"/>
  <c r="AU8" i="1"/>
  <c r="AV8" i="1"/>
  <c r="S9" i="1"/>
  <c r="T9" i="1"/>
  <c r="U9" i="1"/>
  <c r="V9" i="1"/>
  <c r="W9" i="1"/>
  <c r="X9" i="1"/>
  <c r="Y9" i="1"/>
  <c r="Z9" i="1"/>
  <c r="AA9" i="1"/>
  <c r="AB9" i="1"/>
  <c r="AC9" i="1"/>
  <c r="AD9" i="1"/>
  <c r="AE9" i="1"/>
  <c r="AF9" i="1"/>
  <c r="AG9" i="1"/>
  <c r="AH9" i="1"/>
  <c r="AI9" i="1"/>
  <c r="AJ9" i="1"/>
  <c r="AK9" i="1"/>
  <c r="AL9" i="1"/>
  <c r="AM9" i="1"/>
  <c r="AN9" i="1"/>
  <c r="AO9" i="1"/>
  <c r="AP9" i="1"/>
  <c r="AQ9" i="1"/>
  <c r="AR9" i="1"/>
  <c r="AS9" i="1"/>
  <c r="AT9" i="1"/>
  <c r="AU9" i="1"/>
  <c r="AV9" i="1"/>
  <c r="S10" i="1"/>
  <c r="T10" i="1"/>
  <c r="U10" i="1"/>
  <c r="V10" i="1"/>
  <c r="W10" i="1"/>
  <c r="X10" i="1"/>
  <c r="Y10" i="1"/>
  <c r="Z10" i="1"/>
  <c r="AA10" i="1"/>
  <c r="AB10" i="1"/>
  <c r="AC10" i="1"/>
  <c r="AD10" i="1"/>
  <c r="AE10" i="1"/>
  <c r="AF10" i="1"/>
  <c r="AG10" i="1"/>
  <c r="AH10" i="1"/>
  <c r="AI10" i="1"/>
  <c r="AJ10" i="1"/>
  <c r="AK10" i="1"/>
  <c r="AL10" i="1"/>
  <c r="AM10" i="1"/>
  <c r="AN10" i="1"/>
  <c r="AO10" i="1"/>
  <c r="AP10" i="1"/>
  <c r="AQ10" i="1"/>
  <c r="AR10" i="1"/>
  <c r="AS10" i="1"/>
  <c r="AT10" i="1"/>
  <c r="AU10" i="1"/>
  <c r="AV10" i="1"/>
  <c r="C36" i="2" l="1"/>
  <c r="I15" i="1" l="1"/>
  <c r="H18" i="9" s="1"/>
  <c r="I19" i="1"/>
  <c r="I20" i="1"/>
  <c r="I21" i="1"/>
  <c r="I22" i="1"/>
  <c r="O18" i="9" s="1"/>
  <c r="I23" i="1"/>
  <c r="P18" i="9" s="1"/>
  <c r="I24" i="1"/>
  <c r="Q18" i="9" s="1"/>
  <c r="H19" i="1"/>
  <c r="H20" i="1"/>
  <c r="H21" i="1"/>
  <c r="H22" i="1"/>
  <c r="O17" i="9" s="1"/>
  <c r="H23" i="1"/>
  <c r="P17" i="9" s="1"/>
  <c r="H24" i="1"/>
  <c r="Q17" i="9" s="1"/>
  <c r="H15" i="1"/>
  <c r="H17" i="9" s="1"/>
  <c r="H16" i="1"/>
  <c r="I17" i="9" s="1"/>
  <c r="I16" i="1"/>
  <c r="I18" i="9" s="1"/>
  <c r="H17" i="1"/>
  <c r="J17" i="9" s="1"/>
  <c r="I17" i="1"/>
  <c r="J18" i="9" s="1"/>
  <c r="H18" i="1"/>
  <c r="K17" i="9" s="1"/>
  <c r="I18" i="1"/>
  <c r="K18" i="9" s="1"/>
  <c r="N17" i="9" l="1"/>
  <c r="M17" i="9"/>
  <c r="L17" i="9"/>
  <c r="N18" i="9"/>
  <c r="M18" i="9"/>
  <c r="L18" i="9"/>
  <c r="R24" i="1"/>
  <c r="Q24" i="1"/>
  <c r="P24" i="1"/>
  <c r="O24" i="1"/>
  <c r="Q24" i="9" s="1"/>
  <c r="N24" i="1"/>
  <c r="R23" i="1"/>
  <c r="Q23" i="1"/>
  <c r="P26" i="9" s="1"/>
  <c r="P23" i="1"/>
  <c r="O23" i="1"/>
  <c r="N23" i="1"/>
  <c r="R22" i="1"/>
  <c r="Q22" i="1"/>
  <c r="P22" i="1"/>
  <c r="O22" i="1"/>
  <c r="O24" i="9" s="1"/>
  <c r="N22" i="1"/>
  <c r="R21" i="1"/>
  <c r="Q21" i="1"/>
  <c r="N26" i="9" s="1"/>
  <c r="P21" i="1"/>
  <c r="O21" i="1"/>
  <c r="N21" i="1"/>
  <c r="R20" i="1"/>
  <c r="Q20" i="1"/>
  <c r="P20" i="1"/>
  <c r="O20" i="1"/>
  <c r="M24" i="9" s="1"/>
  <c r="N20" i="1"/>
  <c r="R19" i="1"/>
  <c r="Q19" i="1"/>
  <c r="L26" i="9" s="1"/>
  <c r="P19" i="1"/>
  <c r="N19" i="1"/>
  <c r="R18" i="1"/>
  <c r="Q18" i="1"/>
  <c r="P18" i="1"/>
  <c r="O18" i="1"/>
  <c r="K24" i="9" s="1"/>
  <c r="N18" i="1"/>
  <c r="R17" i="1"/>
  <c r="Q17" i="1"/>
  <c r="J26" i="9" s="1"/>
  <c r="P17" i="1"/>
  <c r="O17" i="1"/>
  <c r="N17" i="1"/>
  <c r="R16" i="1"/>
  <c r="Q16" i="1"/>
  <c r="P16" i="1"/>
  <c r="O16" i="1"/>
  <c r="I24" i="9" s="1"/>
  <c r="N16" i="1"/>
  <c r="R15" i="1"/>
  <c r="Q15" i="1"/>
  <c r="H26" i="9" s="1"/>
  <c r="P15" i="1"/>
  <c r="O15" i="1"/>
  <c r="N15" i="1"/>
  <c r="K20" i="1" l="1"/>
  <c r="L20" i="1" s="1"/>
  <c r="K24" i="1"/>
  <c r="L24" i="1" s="1"/>
  <c r="K16" i="1"/>
  <c r="L16" i="1" s="1"/>
  <c r="K18" i="1"/>
  <c r="L18" i="1" s="1"/>
  <c r="K22" i="1"/>
  <c r="L22" i="1" s="1"/>
  <c r="K17" i="1"/>
  <c r="L17" i="1" s="1"/>
  <c r="K21" i="1"/>
  <c r="L21" i="1" s="1"/>
  <c r="K15" i="1"/>
  <c r="L15" i="1" s="1"/>
  <c r="K23" i="1"/>
  <c r="L23" i="1" s="1"/>
  <c r="K19" i="1"/>
  <c r="L19" i="1" s="1"/>
  <c r="H23" i="9"/>
  <c r="H27" i="9"/>
  <c r="H29" i="9"/>
  <c r="I25" i="9"/>
  <c r="J23" i="9"/>
  <c r="J27" i="9"/>
  <c r="J29" i="9"/>
  <c r="K25" i="9"/>
  <c r="L23" i="9"/>
  <c r="L27" i="9"/>
  <c r="L29" i="9"/>
  <c r="M25" i="9"/>
  <c r="N23" i="9"/>
  <c r="N27" i="9"/>
  <c r="N29" i="9"/>
  <c r="O25" i="9"/>
  <c r="P23" i="9"/>
  <c r="P27" i="9"/>
  <c r="P29" i="9"/>
  <c r="Q25" i="9"/>
  <c r="H24" i="9"/>
  <c r="I26" i="9"/>
  <c r="J24" i="9"/>
  <c r="K26" i="9"/>
  <c r="L24" i="9"/>
  <c r="M26" i="9"/>
  <c r="N24" i="9"/>
  <c r="O26" i="9"/>
  <c r="P24" i="9"/>
  <c r="Q26" i="9"/>
  <c r="H25" i="9"/>
  <c r="I23" i="9"/>
  <c r="I27" i="9"/>
  <c r="I29" i="9"/>
  <c r="J25" i="9"/>
  <c r="K23" i="9"/>
  <c r="K27" i="9"/>
  <c r="K29" i="9"/>
  <c r="L25" i="9"/>
  <c r="M23" i="9"/>
  <c r="M27" i="9"/>
  <c r="M29" i="9"/>
  <c r="N25" i="9"/>
  <c r="O23" i="9"/>
  <c r="O27" i="9"/>
  <c r="O29" i="9"/>
  <c r="P25" i="9"/>
  <c r="Q23" i="9"/>
  <c r="Q27" i="9"/>
  <c r="Q29" i="9"/>
  <c r="M9" i="1"/>
  <c r="M8" i="1"/>
  <c r="M7" i="1"/>
  <c r="M10" i="1"/>
  <c r="M6" i="1"/>
  <c r="Q9" i="1"/>
  <c r="Q6" i="1"/>
  <c r="Q10" i="1"/>
  <c r="Q7" i="1"/>
  <c r="Q8" i="1"/>
  <c r="N8" i="1"/>
  <c r="N9" i="1"/>
  <c r="N6" i="1"/>
  <c r="N10" i="1"/>
  <c r="N7" i="1"/>
  <c r="R8" i="1"/>
  <c r="R9" i="1"/>
  <c r="R6" i="1"/>
  <c r="R10" i="1"/>
  <c r="R7" i="1"/>
  <c r="O7" i="1"/>
  <c r="O8" i="1"/>
  <c r="O9" i="1"/>
  <c r="O6" i="1"/>
  <c r="O10" i="1"/>
  <c r="P6" i="1"/>
  <c r="P10" i="1"/>
  <c r="P7" i="1"/>
  <c r="P8" i="1"/>
  <c r="P9" i="1"/>
  <c r="C22" i="2" l="1"/>
  <c r="C23" i="2"/>
  <c r="C29" i="2"/>
  <c r="C24" i="2"/>
  <c r="C27" i="2"/>
  <c r="C25" i="2"/>
  <c r="C26" i="2"/>
  <c r="C28" i="2"/>
  <c r="C30" i="2"/>
  <c r="C32" i="2"/>
  <c r="C21" i="2"/>
  <c r="C31" i="2"/>
  <c r="C20" i="2"/>
  <c r="O19" i="9"/>
  <c r="L19" i="9"/>
  <c r="M19" i="9"/>
  <c r="J19" i="9"/>
  <c r="K19" i="9"/>
  <c r="H19" i="9"/>
  <c r="P19" i="9"/>
  <c r="Q19" i="9"/>
  <c r="I19" i="9"/>
  <c r="N19" i="9"/>
  <c r="K10" i="1"/>
  <c r="K6" i="1"/>
  <c r="K9" i="1"/>
  <c r="K8" i="1"/>
  <c r="K7" i="1"/>
  <c r="I22" i="9" l="1"/>
  <c r="I20" i="9"/>
  <c r="P22" i="9"/>
  <c r="P20" i="9"/>
  <c r="K22" i="9"/>
  <c r="K20" i="9"/>
  <c r="M22" i="9"/>
  <c r="M20" i="9"/>
  <c r="O22" i="9"/>
  <c r="O20" i="9"/>
  <c r="N22" i="9"/>
  <c r="N20" i="9"/>
  <c r="Q22" i="9"/>
  <c r="Q20" i="9"/>
  <c r="H22" i="9"/>
  <c r="H20" i="9"/>
  <c r="J22" i="9"/>
  <c r="J20" i="9"/>
  <c r="L22" i="9"/>
  <c r="L20" i="9"/>
</calcChain>
</file>

<file path=xl/sharedStrings.xml><?xml version="1.0" encoding="utf-8"?>
<sst xmlns="http://schemas.openxmlformats.org/spreadsheetml/2006/main" count="564" uniqueCount="509">
  <si>
    <t>Assessment Type</t>
  </si>
  <si>
    <t>Points</t>
  </si>
  <si>
    <t>Weight</t>
  </si>
  <si>
    <t>Class</t>
  </si>
  <si>
    <t>Name</t>
  </si>
  <si>
    <t>Race</t>
  </si>
  <si>
    <t>Gender</t>
  </si>
  <si>
    <t>Age</t>
  </si>
  <si>
    <t>Repeated Grades</t>
  </si>
  <si>
    <t>Financial Status</t>
  </si>
  <si>
    <t>Absences</t>
  </si>
  <si>
    <t>Make your own categories</t>
  </si>
  <si>
    <t>Projects</t>
  </si>
  <si>
    <t>Assessment 2</t>
  </si>
  <si>
    <t>Assessment 3</t>
  </si>
  <si>
    <t>Assessment 4</t>
  </si>
  <si>
    <t>Assessment 5</t>
  </si>
  <si>
    <t>Assessment 6</t>
  </si>
  <si>
    <t>Assessment 7</t>
  </si>
  <si>
    <t>Assessment 8</t>
  </si>
  <si>
    <t>Assessment 9</t>
  </si>
  <si>
    <t>Assessment 10</t>
  </si>
  <si>
    <t>Assessment 11</t>
  </si>
  <si>
    <t>Assessment 12</t>
  </si>
  <si>
    <t>Assessment 13</t>
  </si>
  <si>
    <t>Assessment 14</t>
  </si>
  <si>
    <t>Assessment 15</t>
  </si>
  <si>
    <t>Assessment 16</t>
  </si>
  <si>
    <t>Assessment 17</t>
  </si>
  <si>
    <t>Assessment 18</t>
  </si>
  <si>
    <t>Assessment 19</t>
  </si>
  <si>
    <t>Assessment 20</t>
  </si>
  <si>
    <t>Assessment 21</t>
  </si>
  <si>
    <t>Assessment 22</t>
  </si>
  <si>
    <t>Assessment 23</t>
  </si>
  <si>
    <t>Assessment 24</t>
  </si>
  <si>
    <t>Assessment 25</t>
  </si>
  <si>
    <t>Student 1</t>
  </si>
  <si>
    <t>Student 2</t>
  </si>
  <si>
    <t>Student 3</t>
  </si>
  <si>
    <t>Excused</t>
  </si>
  <si>
    <t>Student 4</t>
  </si>
  <si>
    <t>Student 5</t>
  </si>
  <si>
    <t>Student 6</t>
  </si>
  <si>
    <t>Student 7</t>
  </si>
  <si>
    <t>Student 8</t>
  </si>
  <si>
    <t>Student 9</t>
  </si>
  <si>
    <t>Student 10</t>
  </si>
  <si>
    <t>Options and Things to Try</t>
  </si>
  <si>
    <t>For Coloring:</t>
  </si>
  <si>
    <t>Yes</t>
  </si>
  <si>
    <t>Things to Try:</t>
  </si>
  <si>
    <t>Set up autosave</t>
  </si>
  <si>
    <t>Add a total row</t>
  </si>
  <si>
    <t>Add demographics</t>
  </si>
  <si>
    <t>Filter and sort</t>
  </si>
  <si>
    <t>Change color scheme</t>
  </si>
  <si>
    <t>About</t>
  </si>
  <si>
    <t>Version</t>
  </si>
  <si>
    <t>http://web.mit.edu/jabbott/www/excelgradetracker.html</t>
  </si>
  <si>
    <t>Author</t>
  </si>
  <si>
    <t>Jonathan Abbott</t>
  </si>
  <si>
    <t>Row Labels</t>
  </si>
  <si>
    <t>Grand Total</t>
  </si>
  <si>
    <t>Grade Report</t>
  </si>
  <si>
    <t>[Your School]</t>
  </si>
  <si>
    <t>Teacher: [Your name]</t>
  </si>
  <si>
    <t>Class: [Your Class]</t>
  </si>
  <si>
    <t>Score</t>
  </si>
  <si>
    <t>a</t>
  </si>
  <si>
    <t>Student</t>
  </si>
  <si>
    <t>Date</t>
  </si>
  <si>
    <t>Assessment | Insert new columns before here</t>
  </si>
  <si>
    <t>The little graphs</t>
  </si>
  <si>
    <t>Show more screen</t>
  </si>
  <si>
    <t>F:</t>
  </si>
  <si>
    <t>Absent</t>
  </si>
  <si>
    <t>Late</t>
  </si>
  <si>
    <t>Running Average</t>
  </si>
  <si>
    <t>Average of Running Average</t>
  </si>
  <si>
    <t>Lates</t>
  </si>
  <si>
    <t>l</t>
  </si>
  <si>
    <t>Can be contacted at jabbott.mit@gmail.com</t>
  </si>
  <si>
    <t>Percentage Breakdown By Assessment Type</t>
  </si>
  <si>
    <t>Point Multiplier</t>
  </si>
  <si>
    <t>Scoring:</t>
  </si>
  <si>
    <t>Website (till Feb '16)</t>
  </si>
  <si>
    <t>Questions / Concerns?</t>
  </si>
  <si>
    <t>Please reach out to me with any feedback, concerns, and questions</t>
  </si>
  <si>
    <t>Homework One</t>
  </si>
  <si>
    <t>Classwork  One</t>
  </si>
  <si>
    <t>Homework Two</t>
  </si>
  <si>
    <t>First Test</t>
  </si>
  <si>
    <t>Project</t>
  </si>
  <si>
    <t>Homeworks</t>
  </si>
  <si>
    <t>Classworks</t>
  </si>
  <si>
    <t>Tests</t>
  </si>
  <si>
    <t>Color the Table</t>
  </si>
  <si>
    <t>Not Yet</t>
  </si>
  <si>
    <t>Another Type 2</t>
  </si>
  <si>
    <t>Another Type</t>
  </si>
  <si>
    <t>Make helper colns</t>
  </si>
  <si>
    <t>Give extra credit</t>
  </si>
  <si>
    <t>Track absences</t>
  </si>
  <si>
    <t>Excused assignments</t>
  </si>
  <si>
    <t>More marking periods</t>
  </si>
  <si>
    <t>Type</t>
  </si>
  <si>
    <t>General Comments:</t>
  </si>
  <si>
    <t>Assignment</t>
  </si>
  <si>
    <t>Points Earned</t>
  </si>
  <si>
    <t>Parent Signiture:</t>
  </si>
  <si>
    <t>Assessment Avg</t>
  </si>
  <si>
    <t>Percent of Grade</t>
  </si>
  <si>
    <t>Pointed Earned</t>
  </si>
  <si>
    <t>Grade</t>
  </si>
  <si>
    <t>A+</t>
  </si>
  <si>
    <t>A-</t>
  </si>
  <si>
    <t>A</t>
  </si>
  <si>
    <t>B</t>
  </si>
  <si>
    <t>B+</t>
  </si>
  <si>
    <t>B-</t>
  </si>
  <si>
    <t>C</t>
  </si>
  <si>
    <t>C+</t>
  </si>
  <si>
    <t>C-</t>
  </si>
  <si>
    <t>F</t>
  </si>
  <si>
    <t>D+</t>
  </si>
  <si>
    <t>D-</t>
  </si>
  <si>
    <t>D</t>
  </si>
  <si>
    <t>Letter Grades:</t>
  </si>
  <si>
    <t>Letter Grade</t>
  </si>
  <si>
    <t xml:space="preserve"> </t>
  </si>
  <si>
    <t>Freq</t>
  </si>
  <si>
    <t>These letter grades are referenced on the Data Entry sheet for each student. 
If you want to delete rows of this table, simply delete the whole row.
The 5 bar sparkline charts have cutoffs based on D-, C-, B-, and A-.
Ex: Anything above B-, but below A- is a B.</t>
  </si>
  <si>
    <t>Last Updated</t>
  </si>
  <si>
    <t>Date this gradebook this version was last updated</t>
  </si>
  <si>
    <t>Yellow if Above</t>
  </si>
  <si>
    <t>Green if Above</t>
  </si>
  <si>
    <t>For green coloring:</t>
  </si>
  <si>
    <t>For yellow coloring:</t>
  </si>
  <si>
    <t>For red coloring:</t>
  </si>
  <si>
    <t xml:space="preserve"> 1.6apoints </t>
  </si>
  <si>
    <t>This  version for Excel 2013+ calculates a grade using assessment type and points</t>
  </si>
  <si>
    <t>If the percentage breakdown shown right should be changed, you can edit it in cells M4:R4 on the Data Entry sheet.
This gradebook averages all assignments within each assessment type and then calculates the running average using the percentage breakdown shown right.
An average for an assignment type is:
(Points Earned) / (Total Possible Points*)
*Assignments can be marked as "Excused"</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</si>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</sst>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_(* \(#,##0.00\);_(* &quot;-&quot;??_);_(@_)"/>
    <numFmt numFmtId="164" formatCode="0.0"/>
    <numFmt numFmtId="165" formatCode="[$-409]d\-mmm;@"/>
    <numFmt numFmtId="166" formatCode=";;;"/>
    <numFmt numFmtId="167" formatCode="#&quot; (Average)&quot;"/>
    <numFmt numFmtId="168" formatCode="ddd\ mmm\ dd"/>
  </numFmts>
  <fonts count="20" x14ac:knownFonts="1">
    <font>
      <sz val="11"/>
      <color theme="1"/>
      <name val="Calibri"/>
      <family val="2"/>
      <scheme val="minor"/>
    </font>
    <font>
      <sz val="11"/>
      <color theme="1"/>
      <name val="Calibri"/>
      <family val="2"/>
      <scheme val="minor"/>
    </font>
    <font>
      <i/>
      <sz val="11"/>
      <color rgb="FF7F7F7F"/>
      <name val="Calibri"/>
      <family val="2"/>
      <scheme val="minor"/>
    </font>
    <font>
      <sz val="11"/>
      <color theme="1"/>
      <name val="Arial"/>
      <family val="2"/>
    </font>
    <font>
      <sz val="11"/>
      <color theme="0" tint="-0.499984740745262"/>
      <name val="Arial"/>
      <family val="2"/>
    </font>
    <font>
      <i/>
      <sz val="18"/>
      <color theme="1"/>
      <name val="Calibri"/>
      <family val="2"/>
      <scheme val="minor"/>
    </font>
    <font>
      <b/>
      <i/>
      <sz val="11"/>
      <color theme="1" tint="4.9989318521683403E-2"/>
      <name val="Calibri"/>
      <family val="2"/>
      <scheme val="minor"/>
    </font>
    <font>
      <sz val="11"/>
      <color theme="1" tint="0.249977111117893"/>
      <name val="Calibri"/>
      <family val="2"/>
      <scheme val="minor"/>
    </font>
    <font>
      <b/>
      <i/>
      <sz val="11"/>
      <color theme="1"/>
      <name val="Calibri"/>
      <family val="2"/>
      <scheme val="minor"/>
    </font>
    <font>
      <u/>
      <sz val="11"/>
      <color theme="10"/>
      <name val="Calibri"/>
      <family val="2"/>
      <scheme val="minor"/>
    </font>
    <font>
      <b/>
      <sz val="15"/>
      <color theme="3"/>
      <name val="Calibri"/>
      <family val="2"/>
      <scheme val="minor"/>
    </font>
    <font>
      <b/>
      <sz val="15"/>
      <name val="Calibri"/>
      <family val="2"/>
      <scheme val="minor"/>
    </font>
    <font>
      <sz val="14"/>
      <color theme="1"/>
      <name val="Calibri"/>
      <family val="2"/>
      <scheme val="minor"/>
    </font>
    <font>
      <sz val="11"/>
      <color theme="1" tint="4.9989318521683403E-2"/>
      <name val="Arial"/>
      <family val="2"/>
    </font>
    <font>
      <b/>
      <sz val="11"/>
      <color theme="1"/>
      <name val="Calibri"/>
      <family val="2"/>
      <scheme val="minor"/>
    </font>
    <font>
      <sz val="11"/>
      <color theme="1" tint="0.499984740745262"/>
      <name val="Arial"/>
      <family val="2"/>
    </font>
    <font>
      <sz val="11"/>
      <color rgb="FF3F3F76"/>
      <name val="Calibri"/>
      <family val="2"/>
      <scheme val="minor"/>
    </font>
    <font>
      <sz val="11"/>
      <color theme="1"/>
      <name val="Calibri"/>
      <family val="2"/>
    </font>
    <font>
      <sz val="11"/>
      <color theme="0" tint="-0.499984740745262"/>
      <name val="Calibri"/>
      <family val="2"/>
    </font>
    <font>
      <sz val="8"/>
      <name val="Calibri"/>
      <family val="2"/>
      <scheme val="minor"/>
    </font>
  </fonts>
  <fills count="25">
    <fill>
      <patternFill patternType="none"/>
    </fill>
    <fill>
      <patternFill patternType="gray125"/>
    </fill>
    <fill>
      <patternFill patternType="solid">
        <fgColor theme="4" tint="0.79998168889431442"/>
        <bgColor indexed="65"/>
      </patternFill>
    </fill>
    <fill>
      <patternFill patternType="solid">
        <fgColor theme="2"/>
        <bgColor indexed="64"/>
      </patternFill>
    </fill>
    <fill>
      <gradientFill>
        <stop position="0">
          <color theme="3" tint="0.80001220740379042"/>
        </stop>
        <stop position="1">
          <color theme="3" tint="0.59999389629810485"/>
        </stop>
      </gradientFill>
    </fill>
    <fill>
      <gradientFill degree="180">
        <stop position="0">
          <color theme="3" tint="0.80001220740379042"/>
        </stop>
        <stop position="1">
          <color theme="3" tint="0.59999389629810485"/>
        </stop>
      </gradientFill>
    </fill>
    <fill>
      <patternFill patternType="solid">
        <fgColor theme="3" tint="0.79998168889431442"/>
        <bgColor indexed="64"/>
      </patternFill>
    </fill>
    <fill>
      <gradientFill>
        <stop position="0">
          <color theme="0" tint="-5.0965910824915313E-2"/>
        </stop>
        <stop position="1">
          <color theme="0" tint="-0.1490218817712943"/>
        </stop>
      </gradientFill>
    </fill>
    <fill>
      <gradientFill degree="180">
        <stop position="0">
          <color theme="0" tint="-5.0965910824915313E-2"/>
        </stop>
        <stop position="1">
          <color theme="0" tint="-0.1490218817712943"/>
        </stop>
      </gradientFill>
    </fill>
    <fill>
      <patternFill patternType="solid">
        <fgColor theme="0" tint="-4.9989318521683403E-2"/>
        <bgColor indexed="64"/>
      </patternFill>
    </fill>
    <fill>
      <gradientFill>
        <stop position="0">
          <color theme="9" tint="0.80001220740379042"/>
        </stop>
        <stop position="1">
          <color theme="9" tint="0.59999389629810485"/>
        </stop>
      </gradientFill>
    </fill>
    <fill>
      <gradientFill degree="180">
        <stop position="0">
          <color theme="9" tint="0.80001220740379042"/>
        </stop>
        <stop position="1">
          <color theme="9" tint="0.59999389629810485"/>
        </stop>
      </gradientFill>
    </fill>
    <fill>
      <patternFill patternType="solid">
        <fgColor theme="7" tint="0.79998168889431442"/>
        <bgColor indexed="64"/>
      </patternFill>
    </fill>
    <fill>
      <patternFill patternType="solid">
        <fgColor theme="0" tint="-0.14999847407452621"/>
        <bgColor indexed="64"/>
      </patternFill>
    </fill>
    <fill>
      <patternFill patternType="darkUp"/>
    </fill>
    <fill>
      <patternFill patternType="solid">
        <fgColor theme="0"/>
        <bgColor auto="1"/>
      </patternFill>
    </fill>
    <fill>
      <patternFill patternType="solid">
        <fgColor theme="0" tint="-4.9989318521683403E-2"/>
        <bgColor auto="1"/>
      </patternFill>
    </fill>
    <fill>
      <patternFill patternType="solid">
        <fgColor theme="0"/>
        <bgColor indexed="64"/>
      </patternFill>
    </fill>
    <fill>
      <patternFill patternType="solid">
        <fgColor theme="9" tint="0.79998168889431442"/>
        <bgColor indexed="64"/>
      </patternFill>
    </fill>
    <fill>
      <gradientFill degree="90">
        <stop position="0">
          <color theme="2" tint="-9.8025452436902985E-2"/>
        </stop>
        <stop position="1">
          <color theme="2" tint="-0.25098422193060094"/>
        </stop>
      </gradientFill>
    </fill>
    <fill>
      <gradientFill degree="90">
        <stop position="0">
          <color theme="3" tint="0.80001220740379042"/>
        </stop>
        <stop position="1">
          <color theme="3" tint="0.59999389629810485"/>
        </stop>
      </gradientFill>
    </fill>
    <fill>
      <patternFill patternType="solid">
        <fgColor rgb="FFCCFFCC"/>
        <bgColor indexed="64"/>
      </patternFill>
    </fill>
    <fill>
      <patternFill patternType="solid">
        <fgColor rgb="FFFFFF99"/>
        <bgColor indexed="64"/>
      </patternFill>
    </fill>
    <fill>
      <patternFill patternType="solid">
        <fgColor rgb="FFFFCCCC"/>
        <bgColor indexed="64"/>
      </patternFill>
    </fill>
    <fill>
      <patternFill patternType="solid">
        <fgColor rgb="FFFFCC99"/>
      </patternFill>
    </fill>
  </fills>
  <borders count="41">
    <border>
      <left/>
      <right/>
      <top/>
      <bottom/>
      <diagonal/>
    </border>
    <border>
      <left/>
      <right/>
      <top/>
      <bottom style="thin">
        <color indexed="64"/>
      </bottom>
      <diagonal/>
    </border>
    <border>
      <left/>
      <right/>
      <top/>
      <bottom style="thick">
        <color theme="4"/>
      </bottom>
      <diagonal/>
    </border>
    <border>
      <left/>
      <right/>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right/>
      <top style="thin">
        <color theme="0" tint="-0.499984740745262"/>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auto="1"/>
      </left>
      <right style="thin">
        <color auto="1"/>
      </right>
      <top/>
      <bottom style="thin">
        <color theme="0" tint="-0.499984740745262"/>
      </bottom>
      <diagonal/>
    </border>
    <border>
      <left style="thin">
        <color auto="1"/>
      </left>
      <right style="thin">
        <color auto="1"/>
      </right>
      <top style="thin">
        <color theme="0" tint="-0.499984740745262"/>
      </top>
      <bottom style="medium">
        <color indexed="64"/>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top style="thin">
        <color indexed="64"/>
      </top>
      <bottom style="thin">
        <color theme="0" tint="-0.499984740745262"/>
      </bottom>
      <diagonal/>
    </border>
    <border>
      <left style="thin">
        <color indexed="64"/>
      </left>
      <right style="thin">
        <color indexed="64"/>
      </right>
      <top/>
      <bottom/>
      <diagonal/>
    </border>
    <border>
      <left style="thin">
        <color indexed="64"/>
      </left>
      <right style="thin">
        <color indexed="64"/>
      </right>
      <top style="thin">
        <color indexed="64"/>
      </top>
      <bottom style="thin">
        <color theme="0" tint="-0.499984740745262"/>
      </bottom>
      <diagonal/>
    </border>
    <border>
      <left style="thin">
        <color indexed="64"/>
      </left>
      <right style="thin">
        <color theme="0" tint="-0.499984740745262"/>
      </right>
      <top/>
      <bottom/>
      <diagonal/>
    </border>
    <border>
      <left/>
      <right/>
      <top style="thin">
        <color theme="0" tint="-0.499984740745262"/>
      </top>
      <bottom style="medium">
        <color indexed="64"/>
      </bottom>
      <diagonal/>
    </border>
    <border>
      <left/>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theme="0" tint="-0.499984740745262"/>
      </bottom>
      <diagonal/>
    </border>
    <border>
      <left style="thin">
        <color indexed="64"/>
      </left>
      <right/>
      <top style="medium">
        <color indexed="64"/>
      </top>
      <bottom style="thin">
        <color auto="1"/>
      </bottom>
      <diagonal/>
    </border>
    <border>
      <left style="thin">
        <color indexed="64"/>
      </left>
      <right/>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indexed="64"/>
      </left>
      <right/>
      <top style="thin">
        <color theme="0" tint="-0.499984740745262"/>
      </top>
      <bottom style="medium">
        <color indexed="64"/>
      </bottom>
      <diagonal/>
    </border>
    <border>
      <left style="thin">
        <color indexed="64"/>
      </left>
      <right style="thin">
        <color indexed="64"/>
      </right>
      <top style="medium">
        <color indexed="64"/>
      </top>
      <bottom style="thin">
        <color auto="1"/>
      </bottom>
      <diagonal/>
    </border>
    <border>
      <left style="thin">
        <color auto="1"/>
      </left>
      <right style="thin">
        <color auto="1"/>
      </right>
      <top/>
      <bottom style="medium">
        <color indexed="64"/>
      </bottom>
      <diagonal/>
    </border>
    <border>
      <left/>
      <right/>
      <top style="thin">
        <color theme="0" tint="-0.499984740745262"/>
      </top>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style="thin">
        <color rgb="FF7F7F7F"/>
      </top>
      <bottom/>
      <diagonal/>
    </border>
  </borders>
  <cellStyleXfs count="8">
    <xf numFmtId="0" fontId="0" fillId="17" borderId="0"/>
    <xf numFmtId="9" fontId="1" fillId="0" borderId="0" applyFont="0" applyFill="0" applyBorder="0" applyAlignment="0" applyProtection="0"/>
    <xf numFmtId="0" fontId="2" fillId="0" borderId="0" applyNumberFormat="0" applyFill="0" applyBorder="0" applyAlignment="0" applyProtection="0"/>
    <xf numFmtId="0" fontId="1" fillId="2" borderId="0" applyNumberFormat="0" applyBorder="0" applyAlignment="0" applyProtection="0"/>
    <xf numFmtId="0" fontId="9" fillId="0" borderId="0" applyNumberFormat="0" applyFill="0" applyBorder="0" applyAlignment="0" applyProtection="0"/>
    <xf numFmtId="0" fontId="10" fillId="0" borderId="2" applyNumberFormat="0" applyFill="0" applyAlignment="0" applyProtection="0"/>
    <xf numFmtId="43" fontId="1" fillId="0" borderId="0" applyFont="0" applyFill="0" applyBorder="0" applyAlignment="0" applyProtection="0"/>
    <xf numFmtId="0" fontId="16" fillId="24" borderId="39" applyNumberFormat="0" applyAlignment="0" applyProtection="0"/>
  </cellStyleXfs>
  <cellXfs count="170">
    <xf numFmtId="0" fontId="0" fillId="17" borderId="0" xfId="0"/>
    <xf numFmtId="0" fontId="3" fillId="3" borderId="0" xfId="0" applyFont="1" applyFill="1" applyBorder="1" applyAlignment="1" applyProtection="1">
      <alignment horizontal="center"/>
    </xf>
    <xf numFmtId="0" fontId="3" fillId="17" borderId="0" xfId="0" applyFont="1" applyBorder="1" applyProtection="1"/>
    <xf numFmtId="0" fontId="3" fillId="4" borderId="0" xfId="0" applyFont="1" applyFill="1" applyBorder="1" applyAlignment="1" applyProtection="1">
      <alignment horizontal="center"/>
    </xf>
    <xf numFmtId="0" fontId="4" fillId="5" borderId="0" xfId="0" applyFont="1" applyFill="1" applyBorder="1" applyProtection="1"/>
    <xf numFmtId="0" fontId="3" fillId="6" borderId="0" xfId="0" applyFont="1" applyFill="1" applyBorder="1" applyProtection="1"/>
    <xf numFmtId="0" fontId="3" fillId="6" borderId="0" xfId="0" applyFont="1" applyFill="1" applyBorder="1" applyAlignment="1" applyProtection="1">
      <alignment horizontal="center" vertical="center"/>
    </xf>
    <xf numFmtId="9" fontId="3" fillId="4" borderId="0" xfId="1" applyFont="1" applyFill="1" applyBorder="1" applyProtection="1"/>
    <xf numFmtId="0" fontId="3" fillId="17" borderId="0" xfId="0" applyFont="1"/>
    <xf numFmtId="0" fontId="5" fillId="2" borderId="0" xfId="3" applyFont="1" applyAlignment="1">
      <alignment horizontal="centerContinuous"/>
    </xf>
    <xf numFmtId="0" fontId="6" fillId="9" borderId="0" xfId="0" applyFont="1" applyFill="1"/>
    <xf numFmtId="0" fontId="0" fillId="9" borderId="0" xfId="0" applyFill="1"/>
    <xf numFmtId="0" fontId="0" fillId="13" borderId="0" xfId="0" applyFill="1" applyAlignment="1">
      <alignment horizontal="center"/>
    </xf>
    <xf numFmtId="0" fontId="0" fillId="9" borderId="0" xfId="0" applyFill="1" applyAlignment="1">
      <alignment horizontal="center"/>
    </xf>
    <xf numFmtId="0" fontId="2" fillId="9" borderId="0" xfId="2" applyFill="1"/>
    <xf numFmtId="0" fontId="7" fillId="17" borderId="0" xfId="0" applyFont="1"/>
    <xf numFmtId="0" fontId="0" fillId="13" borderId="0" xfId="0" applyFill="1" applyAlignment="1">
      <alignment horizontal="center" vertical="center"/>
    </xf>
    <xf numFmtId="0" fontId="8" fillId="9" borderId="0" xfId="0" applyFont="1" applyFill="1"/>
    <xf numFmtId="49" fontId="0" fillId="9" borderId="0" xfId="0" applyNumberFormat="1" applyFill="1" applyAlignment="1">
      <alignment horizontal="center"/>
    </xf>
    <xf numFmtId="0" fontId="9" fillId="9" borderId="0" xfId="4" applyFill="1"/>
    <xf numFmtId="49" fontId="0" fillId="9" borderId="0" xfId="0" applyNumberFormat="1" applyFill="1" applyAlignment="1">
      <alignment horizontal="left"/>
    </xf>
    <xf numFmtId="0" fontId="0" fillId="9" borderId="0" xfId="0" applyFill="1" applyAlignment="1">
      <alignment horizontal="left"/>
    </xf>
    <xf numFmtId="0" fontId="2" fillId="9" borderId="0" xfId="2" applyFill="1" applyAlignment="1">
      <alignment wrapText="1"/>
    </xf>
    <xf numFmtId="0" fontId="0" fillId="17" borderId="0" xfId="0" pivotButton="1"/>
    <xf numFmtId="0" fontId="0" fillId="17" borderId="0" xfId="0" applyAlignment="1">
      <alignment horizontal="left"/>
    </xf>
    <xf numFmtId="2" fontId="0" fillId="17" borderId="0" xfId="0" applyNumberFormat="1"/>
    <xf numFmtId="0" fontId="4" fillId="17" borderId="0" xfId="0" applyFont="1" applyBorder="1" applyProtection="1"/>
    <xf numFmtId="0" fontId="4" fillId="9" borderId="0" xfId="0" applyFont="1" applyFill="1" applyBorder="1" applyAlignment="1" applyProtection="1">
      <alignment horizontal="center" vertical="center"/>
    </xf>
    <xf numFmtId="166" fontId="3" fillId="6" borderId="0" xfId="0" applyNumberFormat="1" applyFont="1" applyFill="1" applyBorder="1" applyAlignment="1" applyProtection="1">
      <alignment horizontal="center"/>
    </xf>
    <xf numFmtId="0" fontId="3" fillId="14" borderId="0" xfId="0" applyFont="1" applyFill="1" applyBorder="1" applyProtection="1"/>
    <xf numFmtId="0" fontId="4" fillId="14" borderId="0" xfId="0" applyFont="1" applyFill="1" applyBorder="1" applyProtection="1"/>
    <xf numFmtId="0" fontId="3" fillId="16" borderId="0" xfId="0" applyFont="1" applyFill="1" applyBorder="1" applyAlignment="1" applyProtection="1">
      <alignment horizontal="center"/>
    </xf>
    <xf numFmtId="0" fontId="4" fillId="15" borderId="0" xfId="0" applyFont="1" applyFill="1" applyBorder="1" applyProtection="1"/>
    <xf numFmtId="0" fontId="4" fillId="17" borderId="0" xfId="0" applyFont="1" applyFill="1" applyBorder="1" applyAlignment="1" applyProtection="1">
      <alignment horizontal="center" vertical="center"/>
    </xf>
    <xf numFmtId="165" fontId="4" fillId="17" borderId="0" xfId="1" applyNumberFormat="1" applyFont="1" applyFill="1" applyBorder="1" applyAlignment="1" applyProtection="1">
      <alignment horizontal="center" vertical="center"/>
    </xf>
    <xf numFmtId="0" fontId="3" fillId="3" borderId="3" xfId="0" applyFont="1" applyFill="1" applyBorder="1" applyProtection="1"/>
    <xf numFmtId="0" fontId="3" fillId="3" borderId="3" xfId="0" applyFont="1" applyFill="1" applyBorder="1" applyAlignment="1" applyProtection="1">
      <alignment horizontal="center"/>
    </xf>
    <xf numFmtId="0" fontId="4" fillId="17" borderId="4" xfId="0" applyFont="1" applyFill="1" applyBorder="1" applyAlignment="1" applyProtection="1">
      <alignment horizontal="center" vertical="center"/>
    </xf>
    <xf numFmtId="0" fontId="4" fillId="9" borderId="4" xfId="0" applyFont="1" applyFill="1" applyBorder="1" applyAlignment="1" applyProtection="1">
      <alignment horizontal="center" vertical="center"/>
    </xf>
    <xf numFmtId="0" fontId="4" fillId="17" borderId="5" xfId="0" applyFont="1" applyFill="1" applyBorder="1" applyAlignment="1" applyProtection="1">
      <alignment horizontal="center" vertical="center"/>
    </xf>
    <xf numFmtId="0" fontId="4" fillId="9" borderId="5" xfId="0" applyFont="1" applyFill="1" applyBorder="1" applyAlignment="1" applyProtection="1">
      <alignment horizontal="center" vertical="center"/>
    </xf>
    <xf numFmtId="0" fontId="4" fillId="7" borderId="3" xfId="0" applyFont="1" applyFill="1" applyBorder="1" applyAlignment="1" applyProtection="1">
      <alignment horizontal="right"/>
    </xf>
    <xf numFmtId="0" fontId="4" fillId="8" borderId="3" xfId="0" applyFont="1" applyFill="1" applyBorder="1" applyProtection="1"/>
    <xf numFmtId="0" fontId="4" fillId="9" borderId="3" xfId="0" applyFont="1" applyFill="1" applyBorder="1" applyAlignment="1" applyProtection="1">
      <alignment horizontal="center" vertical="center"/>
    </xf>
    <xf numFmtId="165" fontId="4" fillId="9" borderId="3" xfId="1" applyNumberFormat="1" applyFont="1" applyFill="1" applyBorder="1" applyAlignment="1" applyProtection="1">
      <alignment horizontal="center" vertical="center"/>
    </xf>
    <xf numFmtId="0" fontId="4" fillId="3" borderId="0" xfId="0" applyFont="1" applyFill="1" applyBorder="1" applyAlignment="1" applyProtection="1">
      <alignment horizontal="left"/>
    </xf>
    <xf numFmtId="9" fontId="4" fillId="3" borderId="4" xfId="0" applyNumberFormat="1" applyFont="1" applyFill="1" applyBorder="1" applyAlignment="1" applyProtection="1">
      <alignment horizontal="centerContinuous"/>
    </xf>
    <xf numFmtId="9" fontId="3" fillId="3" borderId="0" xfId="0" applyNumberFormat="1" applyFont="1" applyFill="1" applyBorder="1" applyAlignment="1" applyProtection="1">
      <alignment horizontal="centerContinuous"/>
    </xf>
    <xf numFmtId="9" fontId="3" fillId="3" borderId="5" xfId="0" applyNumberFormat="1" applyFont="1" applyFill="1" applyBorder="1" applyAlignment="1" applyProtection="1">
      <alignment horizontal="centerContinuous"/>
    </xf>
    <xf numFmtId="9" fontId="4" fillId="3" borderId="4" xfId="1" applyFont="1" applyFill="1" applyBorder="1" applyAlignment="1" applyProtection="1">
      <alignment horizontal="centerContinuous" vertical="center"/>
    </xf>
    <xf numFmtId="9" fontId="3" fillId="3" borderId="0" xfId="1" applyFont="1" applyFill="1" applyBorder="1" applyAlignment="1" applyProtection="1">
      <alignment horizontal="centerContinuous" vertical="center"/>
    </xf>
    <xf numFmtId="9" fontId="3" fillId="3" borderId="5" xfId="1" applyFont="1" applyFill="1" applyBorder="1" applyAlignment="1" applyProtection="1">
      <alignment horizontal="centerContinuous" vertical="center"/>
    </xf>
    <xf numFmtId="9" fontId="4" fillId="6" borderId="0" xfId="1" applyFont="1" applyFill="1" applyBorder="1" applyAlignment="1" applyProtection="1">
      <alignment horizontal="center" vertical="center"/>
    </xf>
    <xf numFmtId="164" fontId="13" fillId="0" borderId="8" xfId="1" applyNumberFormat="1" applyFont="1" applyBorder="1" applyAlignment="1" applyProtection="1">
      <alignment horizontal="center"/>
    </xf>
    <xf numFmtId="164" fontId="13" fillId="0" borderId="8" xfId="1" applyNumberFormat="1" applyFont="1" applyBorder="1" applyAlignment="1">
      <alignment horizontal="center"/>
    </xf>
    <xf numFmtId="164" fontId="13" fillId="0" borderId="13" xfId="1" applyNumberFormat="1" applyFont="1" applyBorder="1" applyAlignment="1">
      <alignment horizontal="center"/>
    </xf>
    <xf numFmtId="0" fontId="13" fillId="10" borderId="7" xfId="0" applyNumberFormat="1" applyFont="1" applyFill="1" applyBorder="1" applyAlignment="1" applyProtection="1">
      <alignment horizontal="center" vertical="center"/>
    </xf>
    <xf numFmtId="0" fontId="13" fillId="11" borderId="9" xfId="0" applyNumberFormat="1" applyFont="1" applyFill="1" applyBorder="1" applyAlignment="1" applyProtection="1">
      <alignment horizontal="center" vertical="center"/>
    </xf>
    <xf numFmtId="0" fontId="13" fillId="12" borderId="9" xfId="0" applyNumberFormat="1" applyFont="1" applyFill="1" applyBorder="1" applyAlignment="1" applyProtection="1">
      <alignment horizontal="center" vertical="center" wrapText="1"/>
    </xf>
    <xf numFmtId="0" fontId="13" fillId="17" borderId="10" xfId="0" applyNumberFormat="1" applyFont="1" applyBorder="1" applyAlignment="1" applyProtection="1">
      <alignment horizontal="center"/>
    </xf>
    <xf numFmtId="0" fontId="13" fillId="17" borderId="8" xfId="0" applyNumberFormat="1" applyFont="1" applyBorder="1" applyAlignment="1" applyProtection="1">
      <alignment horizontal="left"/>
    </xf>
    <xf numFmtId="0" fontId="13" fillId="17" borderId="8" xfId="0" applyNumberFormat="1" applyFont="1" applyBorder="1" applyAlignment="1" applyProtection="1">
      <alignment horizontal="center"/>
    </xf>
    <xf numFmtId="0" fontId="13" fillId="17" borderId="11" xfId="0" applyNumberFormat="1" applyFont="1" applyBorder="1" applyAlignment="1" applyProtection="1">
      <alignment horizontal="center"/>
    </xf>
    <xf numFmtId="0" fontId="13" fillId="17" borderId="8" xfId="0" applyNumberFormat="1" applyFont="1" applyBorder="1" applyAlignment="1" applyProtection="1">
      <alignment horizontal="center" wrapText="1"/>
    </xf>
    <xf numFmtId="0" fontId="13" fillId="17" borderId="11" xfId="0" applyNumberFormat="1" applyFont="1" applyBorder="1" applyAlignment="1" applyProtection="1">
      <alignment horizontal="center" wrapText="1"/>
    </xf>
    <xf numFmtId="0" fontId="13" fillId="17" borderId="10" xfId="0" applyNumberFormat="1" applyFont="1" applyBorder="1" applyAlignment="1">
      <alignment horizontal="center"/>
    </xf>
    <xf numFmtId="0" fontId="13" fillId="17" borderId="8" xfId="0" applyNumberFormat="1" applyFont="1" applyBorder="1" applyAlignment="1">
      <alignment horizontal="left"/>
    </xf>
    <xf numFmtId="0" fontId="13" fillId="17" borderId="8" xfId="0" applyNumberFormat="1" applyFont="1" applyBorder="1" applyAlignment="1">
      <alignment horizontal="center"/>
    </xf>
    <xf numFmtId="0" fontId="13" fillId="0" borderId="8" xfId="1" applyNumberFormat="1" applyFont="1" applyBorder="1" applyAlignment="1">
      <alignment horizontal="center"/>
    </xf>
    <xf numFmtId="0" fontId="13" fillId="0" borderId="11" xfId="1" applyNumberFormat="1" applyFont="1" applyBorder="1" applyAlignment="1">
      <alignment horizontal="center"/>
    </xf>
    <xf numFmtId="0" fontId="13" fillId="17" borderId="12" xfId="0" applyNumberFormat="1" applyFont="1" applyBorder="1" applyAlignment="1">
      <alignment horizontal="center"/>
    </xf>
    <xf numFmtId="0" fontId="13" fillId="17" borderId="13" xfId="0" applyNumberFormat="1" applyFont="1" applyBorder="1" applyAlignment="1">
      <alignment horizontal="left"/>
    </xf>
    <xf numFmtId="0" fontId="13" fillId="17" borderId="13" xfId="0" applyNumberFormat="1" applyFont="1" applyBorder="1" applyAlignment="1">
      <alignment horizontal="center"/>
    </xf>
    <xf numFmtId="0" fontId="13" fillId="0" borderId="13" xfId="1" applyNumberFormat="1" applyFont="1" applyBorder="1" applyAlignment="1">
      <alignment horizontal="center"/>
    </xf>
    <xf numFmtId="0" fontId="13" fillId="0" borderId="14" xfId="1" applyNumberFormat="1" applyFont="1" applyBorder="1" applyAlignment="1">
      <alignment horizontal="center"/>
    </xf>
    <xf numFmtId="9" fontId="13" fillId="3" borderId="6" xfId="1" applyFont="1" applyFill="1" applyBorder="1" applyAlignment="1" applyProtection="1">
      <alignment horizontal="center" vertical="center"/>
    </xf>
    <xf numFmtId="9" fontId="13" fillId="3" borderId="3" xfId="1" applyFont="1" applyFill="1" applyBorder="1" applyAlignment="1" applyProtection="1">
      <alignment horizontal="center" vertical="center"/>
    </xf>
    <xf numFmtId="9" fontId="13" fillId="3" borderId="7" xfId="1"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6" borderId="0" xfId="0" applyFont="1" applyFill="1" applyBorder="1" applyAlignment="1" applyProtection="1">
      <alignment horizontal="center" vertical="center"/>
    </xf>
    <xf numFmtId="0" fontId="13" fillId="6" borderId="0" xfId="0" applyNumberFormat="1" applyFont="1" applyFill="1" applyBorder="1" applyAlignment="1" applyProtection="1">
      <alignment horizontal="center" vertical="center"/>
    </xf>
    <xf numFmtId="0" fontId="4" fillId="3" borderId="3" xfId="0" applyFont="1" applyFill="1" applyBorder="1" applyProtection="1"/>
    <xf numFmtId="0" fontId="13" fillId="18" borderId="9" xfId="0" applyNumberFormat="1" applyFont="1" applyFill="1" applyBorder="1" applyAlignment="1" applyProtection="1">
      <alignment horizontal="center" textRotation="90" wrapText="1"/>
    </xf>
    <xf numFmtId="0" fontId="13" fillId="18" borderId="6" xfId="0" applyNumberFormat="1" applyFont="1" applyFill="1" applyBorder="1" applyAlignment="1" applyProtection="1">
      <alignment horizontal="center" textRotation="90" wrapText="1"/>
    </xf>
    <xf numFmtId="167" fontId="13" fillId="19" borderId="9" xfId="0" applyNumberFormat="1" applyFont="1" applyFill="1" applyBorder="1" applyAlignment="1" applyProtection="1">
      <alignment horizontal="center" textRotation="90" wrapText="1"/>
    </xf>
    <xf numFmtId="0" fontId="13" fillId="20" borderId="9" xfId="0" applyNumberFormat="1" applyFont="1" applyFill="1" applyBorder="1" applyAlignment="1" applyProtection="1">
      <alignment horizontal="center" vertical="center" wrapText="1"/>
    </xf>
    <xf numFmtId="0" fontId="3" fillId="3" borderId="15" xfId="0" applyFont="1" applyFill="1" applyBorder="1" applyAlignment="1" applyProtection="1">
      <alignment horizontal="center"/>
    </xf>
    <xf numFmtId="164" fontId="11" fillId="17" borderId="1" xfId="5" applyNumberFormat="1" applyFont="1" applyFill="1" applyBorder="1" applyAlignment="1">
      <alignment horizontal="left" vertical="top"/>
    </xf>
    <xf numFmtId="0" fontId="0" fillId="17" borderId="0" xfId="0" applyBorder="1"/>
    <xf numFmtId="0" fontId="0" fillId="17" borderId="1" xfId="0" applyBorder="1"/>
    <xf numFmtId="0" fontId="0" fillId="9" borderId="0" xfId="0" applyFill="1" applyAlignment="1">
      <alignment horizontal="left" vertical="center" wrapText="1"/>
    </xf>
    <xf numFmtId="0" fontId="0" fillId="17" borderId="8" xfId="0" applyBorder="1" applyAlignment="1">
      <alignment horizontal="center" vertical="top"/>
    </xf>
    <xf numFmtId="9" fontId="0" fillId="17" borderId="8" xfId="1" applyFont="1" applyFill="1" applyBorder="1" applyAlignment="1">
      <alignment horizontal="center" vertical="top"/>
    </xf>
    <xf numFmtId="0" fontId="0" fillId="17" borderId="21" xfId="0" applyBorder="1" applyAlignment="1">
      <alignment horizontal="center" vertical="top"/>
    </xf>
    <xf numFmtId="9" fontId="0" fillId="17" borderId="21" xfId="1" applyFont="1" applyFill="1" applyBorder="1" applyAlignment="1">
      <alignment horizontal="center" vertical="top"/>
    </xf>
    <xf numFmtId="0" fontId="0" fillId="17" borderId="22" xfId="0" applyBorder="1" applyAlignment="1">
      <alignment horizontal="center" vertical="top"/>
    </xf>
    <xf numFmtId="0" fontId="0" fillId="17" borderId="19" xfId="0" applyBorder="1" applyAlignment="1">
      <alignment horizontal="center" vertical="top"/>
    </xf>
    <xf numFmtId="14" fontId="0" fillId="17" borderId="23" xfId="0" applyNumberFormat="1" applyBorder="1" applyAlignment="1">
      <alignment horizontal="center" vertical="top"/>
    </xf>
    <xf numFmtId="14" fontId="0" fillId="17" borderId="11" xfId="0" applyNumberFormat="1" applyBorder="1" applyAlignment="1">
      <alignment horizontal="center" vertical="top"/>
    </xf>
    <xf numFmtId="0" fontId="0" fillId="13" borderId="20" xfId="0" applyFill="1" applyBorder="1" applyAlignment="1">
      <alignment horizontal="center"/>
    </xf>
    <xf numFmtId="0" fontId="0" fillId="13" borderId="4" xfId="0" applyFill="1" applyBorder="1" applyAlignment="1">
      <alignment horizontal="center"/>
    </xf>
    <xf numFmtId="0" fontId="0" fillId="17" borderId="16" xfId="0" applyBorder="1" applyAlignment="1">
      <alignment horizontal="center" vertical="top" wrapText="1"/>
    </xf>
    <xf numFmtId="0" fontId="0" fillId="13" borderId="24" xfId="0" applyFill="1" applyBorder="1" applyAlignment="1">
      <alignment horizontal="center" vertical="top" wrapText="1"/>
    </xf>
    <xf numFmtId="0" fontId="0" fillId="17" borderId="25" xfId="0" applyBorder="1" applyAlignment="1">
      <alignment horizontal="center" vertical="top" wrapText="1"/>
    </xf>
    <xf numFmtId="0" fontId="0" fillId="13" borderId="26" xfId="0" applyFill="1" applyBorder="1" applyAlignment="1">
      <alignment horizontal="center"/>
    </xf>
    <xf numFmtId="0" fontId="0" fillId="17" borderId="28" xfId="0" applyBorder="1"/>
    <xf numFmtId="164" fontId="14" fillId="17" borderId="7" xfId="6" applyNumberFormat="1" applyFont="1" applyFill="1" applyBorder="1" applyAlignment="1">
      <alignment horizontal="center" vertical="top" wrapText="1"/>
    </xf>
    <xf numFmtId="164" fontId="14" fillId="17" borderId="10" xfId="6" applyNumberFormat="1" applyFont="1" applyFill="1" applyBorder="1" applyAlignment="1">
      <alignment horizontal="center" vertical="top" wrapText="1"/>
    </xf>
    <xf numFmtId="0" fontId="0" fillId="17" borderId="17" xfId="0" applyFont="1" applyBorder="1" applyAlignment="1">
      <alignment horizontal="center" vertical="top" wrapText="1"/>
    </xf>
    <xf numFmtId="0" fontId="0" fillId="17" borderId="9" xfId="0" applyFont="1" applyBorder="1"/>
    <xf numFmtId="0" fontId="0" fillId="17" borderId="16" xfId="0" applyFont="1" applyBorder="1" applyAlignment="1">
      <alignment horizontal="center" vertical="top" wrapText="1"/>
    </xf>
    <xf numFmtId="0" fontId="0" fillId="17" borderId="13" xfId="0" applyFont="1" applyBorder="1"/>
    <xf numFmtId="164" fontId="12" fillId="17" borderId="0" xfId="0" applyNumberFormat="1" applyFont="1" applyFill="1" applyBorder="1"/>
    <xf numFmtId="164" fontId="0" fillId="17" borderId="0" xfId="0" applyNumberFormat="1" applyFont="1" applyFill="1" applyBorder="1"/>
    <xf numFmtId="164" fontId="0" fillId="17" borderId="0" xfId="0" applyNumberFormat="1" applyFill="1" applyBorder="1"/>
    <xf numFmtId="164" fontId="2" fillId="17" borderId="0" xfId="2" applyNumberFormat="1" applyFill="1" applyBorder="1"/>
    <xf numFmtId="0" fontId="0" fillId="17" borderId="0" xfId="0" applyFont="1" applyBorder="1"/>
    <xf numFmtId="0" fontId="0" fillId="13" borderId="31" xfId="0" applyFill="1" applyBorder="1" applyAlignment="1">
      <alignment horizontal="center"/>
    </xf>
    <xf numFmtId="9" fontId="0" fillId="17" borderId="16" xfId="1" applyFont="1" applyFill="1" applyBorder="1" applyAlignment="1">
      <alignment horizontal="center" vertical="top"/>
    </xf>
    <xf numFmtId="9" fontId="0" fillId="17" borderId="18" xfId="1" applyFont="1" applyFill="1" applyBorder="1" applyAlignment="1">
      <alignment horizontal="center" vertical="top"/>
    </xf>
    <xf numFmtId="164" fontId="0" fillId="13" borderId="31" xfId="6" applyNumberFormat="1" applyFont="1" applyFill="1" applyBorder="1" applyAlignment="1">
      <alignment horizontal="center" vertical="top" wrapText="1"/>
    </xf>
    <xf numFmtId="164" fontId="0" fillId="17" borderId="17" xfId="6" applyNumberFormat="1" applyFont="1" applyFill="1" applyBorder="1" applyAlignment="1">
      <alignment horizontal="center" vertical="top" wrapText="1"/>
    </xf>
    <xf numFmtId="164" fontId="0" fillId="17" borderId="16" xfId="6" applyNumberFormat="1" applyFont="1" applyFill="1" applyBorder="1" applyAlignment="1">
      <alignment horizontal="center" vertical="top" wrapText="1"/>
    </xf>
    <xf numFmtId="164" fontId="0" fillId="17" borderId="18" xfId="6" applyNumberFormat="1" applyFont="1" applyFill="1" applyBorder="1" applyAlignment="1">
      <alignment horizontal="center" vertical="top" wrapText="1"/>
    </xf>
    <xf numFmtId="164" fontId="0" fillId="13" borderId="24" xfId="6" applyNumberFormat="1" applyFont="1" applyFill="1" applyBorder="1" applyAlignment="1">
      <alignment horizontal="center" vertical="top" wrapText="1"/>
    </xf>
    <xf numFmtId="164" fontId="0" fillId="17" borderId="25" xfId="6" applyNumberFormat="1" applyFont="1" applyFill="1" applyBorder="1" applyAlignment="1">
      <alignment horizontal="center" vertical="top" wrapText="1"/>
    </xf>
    <xf numFmtId="164" fontId="14" fillId="17" borderId="3" xfId="6" applyNumberFormat="1" applyFont="1" applyFill="1" applyBorder="1" applyAlignment="1">
      <alignment horizontal="center" vertical="top" wrapText="1"/>
    </xf>
    <xf numFmtId="164" fontId="14" fillId="17" borderId="15" xfId="6" applyNumberFormat="1" applyFont="1" applyFill="1" applyBorder="1" applyAlignment="1">
      <alignment horizontal="center" vertical="top" wrapText="1"/>
    </xf>
    <xf numFmtId="0" fontId="0" fillId="17" borderId="0" xfId="0" applyFont="1" applyBorder="1" applyAlignment="1">
      <alignment horizontal="left" vertical="top" wrapText="1"/>
    </xf>
    <xf numFmtId="0" fontId="0" fillId="17" borderId="28" xfId="0" applyFont="1" applyBorder="1" applyAlignment="1">
      <alignment horizontal="left" vertical="top" wrapText="1"/>
    </xf>
    <xf numFmtId="0" fontId="0" fillId="17" borderId="29" xfId="0" applyFont="1" applyBorder="1" applyAlignment="1">
      <alignment horizontal="left" vertical="top"/>
    </xf>
    <xf numFmtId="164" fontId="14" fillId="17" borderId="16" xfId="6" applyNumberFormat="1" applyFont="1" applyFill="1" applyBorder="1" applyAlignment="1">
      <alignment horizontal="center" vertical="top" wrapText="1"/>
    </xf>
    <xf numFmtId="164" fontId="14" fillId="17" borderId="37" xfId="6" applyNumberFormat="1" applyFont="1" applyFill="1" applyBorder="1" applyAlignment="1">
      <alignment horizontal="center" vertical="top" wrapText="1"/>
    </xf>
    <xf numFmtId="0" fontId="14" fillId="13" borderId="36" xfId="0" applyFont="1" applyFill="1" applyBorder="1" applyAlignment="1">
      <alignment horizontal="center" vertical="top" wrapText="1"/>
    </xf>
    <xf numFmtId="0" fontId="4" fillId="15" borderId="0" xfId="0" applyFont="1" applyFill="1" applyBorder="1" applyAlignment="1" applyProtection="1">
      <alignment horizontal="left"/>
    </xf>
    <xf numFmtId="14" fontId="0" fillId="9" borderId="0" xfId="0" applyNumberFormat="1" applyFill="1" applyAlignment="1">
      <alignment horizontal="center"/>
    </xf>
    <xf numFmtId="0" fontId="3" fillId="21" borderId="38" xfId="0" applyFont="1" applyFill="1" applyBorder="1" applyAlignment="1" applyProtection="1">
      <alignment horizontal="center"/>
    </xf>
    <xf numFmtId="0" fontId="4" fillId="21" borderId="38" xfId="0" applyFont="1" applyFill="1" applyBorder="1" applyAlignment="1" applyProtection="1">
      <alignment horizontal="center" vertical="center"/>
    </xf>
    <xf numFmtId="0" fontId="3" fillId="22" borderId="0" xfId="0" applyFont="1" applyFill="1" applyBorder="1" applyAlignment="1" applyProtection="1">
      <alignment horizontal="center"/>
    </xf>
    <xf numFmtId="0" fontId="4" fillId="22" borderId="0" xfId="0" applyFont="1" applyFill="1" applyBorder="1" applyAlignment="1" applyProtection="1">
      <alignment horizontal="center" vertical="center"/>
    </xf>
    <xf numFmtId="0" fontId="3" fillId="23" borderId="3" xfId="0" applyFont="1" applyFill="1" applyBorder="1" applyAlignment="1" applyProtection="1">
      <alignment horizontal="center"/>
    </xf>
    <xf numFmtId="0" fontId="4" fillId="23" borderId="3" xfId="0" applyFont="1" applyFill="1" applyBorder="1" applyAlignment="1" applyProtection="1">
      <alignment horizontal="center" vertical="center"/>
    </xf>
    <xf numFmtId="0" fontId="15" fillId="22" borderId="0" xfId="0" applyFont="1" applyFill="1" applyAlignment="1">
      <alignment horizontal="left"/>
    </xf>
    <xf numFmtId="0" fontId="15" fillId="23" borderId="0" xfId="0" applyFont="1" applyFill="1" applyAlignment="1">
      <alignment horizontal="left"/>
    </xf>
    <xf numFmtId="0" fontId="15" fillId="21" borderId="38" xfId="0" applyFont="1" applyFill="1" applyBorder="1" applyAlignment="1">
      <alignment horizontal="left"/>
    </xf>
    <xf numFmtId="0" fontId="17" fillId="17" borderId="0" xfId="0" applyFont="1" applyAlignment="1">
      <alignment horizontal="center" textRotation="90"/>
    </xf>
    <xf numFmtId="14" fontId="16" fillId="24" borderId="40" xfId="7" applyNumberFormat="1" applyBorder="1" applyAlignment="1">
      <alignment textRotation="90"/>
    </xf>
    <xf numFmtId="168" fontId="18" fillId="17" borderId="0" xfId="0" applyNumberFormat="1" applyFont="1" applyAlignment="1">
      <alignment textRotation="90"/>
    </xf>
    <xf numFmtId="0" fontId="0" fillId="17" borderId="7" xfId="0" applyBorder="1"/>
    <xf numFmtId="0" fontId="0" fillId="17" borderId="9" xfId="0" applyBorder="1" applyAlignment="1">
      <alignment horizontal="center" vertical="center" textRotation="90"/>
    </xf>
    <xf numFmtId="0" fontId="0" fillId="17" borderId="10" xfId="0" applyBorder="1"/>
    <xf numFmtId="0" fontId="0" fillId="17" borderId="8" xfId="0" applyBorder="1" applyAlignment="1">
      <alignment horizontal="center" vertical="center"/>
    </xf>
    <xf numFmtId="0" fontId="0" fillId="17" borderId="11" xfId="0" applyBorder="1" applyAlignment="1">
      <alignment horizontal="center" vertical="center"/>
    </xf>
    <xf numFmtId="0" fontId="0" fillId="17" borderId="12" xfId="0" applyBorder="1"/>
    <xf numFmtId="0" fontId="0" fillId="17" borderId="13" xfId="0" applyBorder="1" applyAlignment="1">
      <alignment horizontal="center" vertical="center"/>
    </xf>
    <xf numFmtId="0" fontId="0" fillId="17" borderId="14" xfId="0" applyBorder="1" applyAlignment="1">
      <alignment horizontal="center" vertical="center"/>
    </xf>
    <xf numFmtId="0" fontId="0" fillId="9" borderId="0" xfId="0" applyFill="1" applyAlignment="1">
      <alignment horizontal="left" vertical="center" wrapText="1"/>
    </xf>
    <xf numFmtId="0" fontId="0" fillId="9" borderId="0" xfId="0" applyFill="1" applyAlignment="1">
      <alignment horizontal="left" vertical="top" wrapText="1" indent="1"/>
    </xf>
    <xf numFmtId="0" fontId="0" fillId="9" borderId="0" xfId="0" applyFill="1" applyAlignment="1">
      <alignment horizontal="left" vertical="top" indent="1"/>
    </xf>
    <xf numFmtId="0" fontId="0" fillId="17" borderId="1" xfId="0" applyBorder="1" applyAlignment="1">
      <alignment horizontal="left" vertical="top"/>
    </xf>
    <xf numFmtId="0" fontId="0" fillId="13" borderId="33" xfId="0" applyFill="1" applyBorder="1" applyAlignment="1">
      <alignment horizontal="left"/>
    </xf>
    <xf numFmtId="0" fontId="0" fillId="13" borderId="3" xfId="0" applyFill="1" applyBorder="1" applyAlignment="1">
      <alignment horizontal="left"/>
    </xf>
    <xf numFmtId="0" fontId="0" fillId="17" borderId="34" xfId="0" applyBorder="1" applyAlignment="1">
      <alignment horizontal="left" vertical="top"/>
    </xf>
    <xf numFmtId="0" fontId="0" fillId="17" borderId="15" xfId="0" applyBorder="1" applyAlignment="1">
      <alignment horizontal="left" vertical="top"/>
    </xf>
    <xf numFmtId="0" fontId="0" fillId="17" borderId="35" xfId="0" applyBorder="1" applyAlignment="1">
      <alignment horizontal="left" vertical="top"/>
    </xf>
    <xf numFmtId="0" fontId="0" fillId="17" borderId="27" xfId="0" applyBorder="1" applyAlignment="1">
      <alignment horizontal="left" vertical="top"/>
    </xf>
    <xf numFmtId="0" fontId="0" fillId="13" borderId="32" xfId="0" applyFont="1" applyFill="1" applyBorder="1" applyAlignment="1">
      <alignment horizontal="left" vertical="top" wrapText="1"/>
    </xf>
    <xf numFmtId="0" fontId="0" fillId="13" borderId="30" xfId="0" applyFont="1" applyFill="1" applyBorder="1" applyAlignment="1">
      <alignment horizontal="left" vertical="top" wrapText="1"/>
    </xf>
    <xf numFmtId="0" fontId="0" fillId="17" borderId="33" xfId="0" applyFont="1" applyBorder="1" applyAlignment="1">
      <alignment horizontal="left" vertical="top" wrapText="1"/>
    </xf>
    <xf numFmtId="0" fontId="0" fillId="17" borderId="3" xfId="0" applyFont="1" applyBorder="1" applyAlignment="1">
      <alignment horizontal="left" vertical="top" wrapText="1"/>
    </xf>
  </cellXfs>
  <cellStyles count="8">
    <cellStyle name="20% - Accent1" xfId="3" builtinId="30"/>
    <cellStyle name="Comma" xfId="6" builtinId="3"/>
    <cellStyle name="Explanatory Text" xfId="2" builtinId="53"/>
    <cellStyle name="Heading 1" xfId="5" builtinId="16"/>
    <cellStyle name="Hyperlink" xfId="4" builtinId="8"/>
    <cellStyle name="Input" xfId="7" builtinId="20"/>
    <cellStyle name="Normal" xfId="0" builtinId="0" customBuiltin="1"/>
    <cellStyle name="Percent" xfId="1" builtinId="5"/>
  </cellStyles>
  <dxfs count="504">
    <dxf>
      <fill>
        <patternFill patternType="none">
          <bgColor auto="1"/>
        </patternFill>
      </fill>
    </dxf>
    <dxf>
      <fill>
        <patternFill>
          <bgColor rgb="FFCCFFCC"/>
        </patternFill>
      </fill>
    </dxf>
    <dxf>
      <fill>
        <patternFill>
          <bgColor rgb="FFFFFF99"/>
        </patternFill>
      </fill>
    </dxf>
    <dxf>
      <fill>
        <patternFill>
          <bgColor rgb="FFFFCCCC"/>
        </patternFill>
      </fill>
    </dxf>
    <dxf>
      <fill>
        <patternFill>
          <bgColor rgb="FFFFCCCC"/>
        </patternFill>
      </fill>
    </dxf>
    <dxf>
      <fill>
        <patternFill>
          <bgColor rgb="FFFFFF99"/>
        </patternFill>
      </fill>
    </dxf>
    <dxf>
      <fill>
        <patternFill>
          <bgColor rgb="FFCCFFCC"/>
        </patternFill>
      </fill>
    </dxf>
    <dxf>
      <fill>
        <patternFill patternType="none">
          <bgColor auto="1"/>
        </patternFill>
      </fill>
    </dxf>
    <dxf>
      <fill>
        <patternFill>
          <bgColor rgb="FFFFCCCC"/>
        </patternFill>
      </fill>
    </dxf>
    <dxf>
      <fill>
        <patternFill>
          <bgColor rgb="FFFFFF99"/>
        </patternFill>
      </fill>
    </dxf>
    <dxf>
      <fill>
        <patternFill>
          <bgColor rgb="FFCCFFCC"/>
        </patternFill>
      </fill>
    </dxf>
    <dxf>
      <fill>
        <patternFill>
          <bgColor rgb="FFFFCCCC"/>
        </patternFill>
      </fill>
    </dxf>
    <dxf>
      <fill>
        <patternFill>
          <bgColor rgb="FFFFFF99"/>
        </patternFill>
      </fill>
    </dxf>
    <dxf>
      <fill>
        <patternFill>
          <bgColor rgb="FFCCFFCC"/>
        </patternFill>
      </fill>
    </dxf>
    <dxf>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FF0000"/>
      </font>
    </dxf>
    <dxf>
      <fill>
        <patternFill>
          <bgColor theme="5" tint="0.39994506668294322"/>
        </patternFill>
      </fill>
    </dxf>
    <dxf>
      <fill>
        <patternFill>
          <bgColor theme="5" tint="0.39994506668294322"/>
        </patternFill>
      </fill>
      <border>
        <left style="thin">
          <color rgb="FFFF0000"/>
        </left>
        <right style="thin">
          <color rgb="FFFF0000"/>
        </right>
        <top style="thin">
          <color rgb="FFFF0000"/>
        </top>
        <bottom style="thin">
          <color rgb="FFFF0000"/>
        </bottom>
        <vertical/>
        <horizontal/>
      </border>
    </dxf>
    <dxf>
      <fill>
        <patternFill>
          <bgColor theme="5" tint="0.39994506668294322"/>
        </patternFill>
      </fill>
      <border>
        <left style="thin">
          <color rgb="FFFF0000"/>
        </left>
        <right style="thin">
          <color rgb="FFFF0000"/>
        </right>
        <top style="thin">
          <color rgb="FFFF0000"/>
        </top>
        <bottom style="thin">
          <color rgb="FFFF0000"/>
        </bottom>
      </border>
    </dxf>
    <dxf>
      <font>
        <color theme="3" tint="0.79998168889431442"/>
      </font>
    </dxf>
    <dxf>
      <fill>
        <patternFill patternType="none">
          <bgColor auto="1"/>
        </patternFill>
      </fill>
    </dxf>
    <dxf>
      <fill>
        <patternFill>
          <bgColor rgb="FFFFCCCC"/>
        </patternFill>
      </fill>
    </dxf>
    <dxf>
      <fill>
        <patternFill>
          <bgColor rgb="FFFFFF99"/>
        </patternFill>
      </fill>
    </dxf>
    <dxf>
      <fill>
        <patternFill>
          <bgColor rgb="FFCCFFCC"/>
        </patternFill>
      </fill>
    </dxf>
    <dxf>
      <fill>
        <patternFill patternType="none">
          <bgColor auto="1"/>
        </patternFill>
      </fill>
    </dxf>
    <dxf>
      <fill>
        <patternFill>
          <bgColor rgb="FFFFCCCC"/>
        </patternFill>
      </fill>
    </dxf>
    <dxf>
      <fill>
        <patternFill>
          <bgColor rgb="FFFFFF99"/>
        </patternFill>
      </fill>
    </dxf>
    <dxf>
      <fill>
        <patternFill>
          <bgColor rgb="FFCCFFCC"/>
        </patternFill>
      </fill>
    </dxf>
    <dxf>
      <fill>
        <patternFill>
          <bgColor rgb="FFFFCCCC"/>
        </patternFill>
      </fill>
    </dxf>
    <dxf>
      <fill>
        <patternFill>
          <bgColor rgb="FFFFFF99"/>
        </patternFill>
      </fill>
    </dxf>
    <dxf>
      <fill>
        <patternFill>
          <bgColor rgb="FFCCFFCC"/>
        </patternFill>
      </fill>
    </dxf>
    <dxf>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FF0000"/>
      </font>
    </dxf>
    <dxf>
      <fill>
        <patternFill>
          <bgColor theme="5" tint="0.39994506668294322"/>
        </patternFill>
      </fill>
    </dxf>
    <dxf>
      <fill>
        <patternFill>
          <bgColor theme="5" tint="0.39994506668294322"/>
        </patternFill>
      </fill>
      <border>
        <left style="thin">
          <color rgb="FFFF0000"/>
        </left>
        <right style="thin">
          <color rgb="FFFF0000"/>
        </right>
        <top style="thin">
          <color rgb="FFFF0000"/>
        </top>
        <bottom style="thin">
          <color rgb="FFFF0000"/>
        </bottom>
        <vertical/>
        <horizontal/>
      </border>
    </dxf>
    <dxf>
      <fill>
        <patternFill>
          <bgColor theme="5" tint="0.39994506668294322"/>
        </patternFill>
      </fill>
      <border>
        <left style="thin">
          <color rgb="FFFF0000"/>
        </left>
        <right style="thin">
          <color rgb="FFFF0000"/>
        </right>
        <top style="thin">
          <color rgb="FFFF0000"/>
        </top>
        <bottom style="thin">
          <color rgb="FFFF0000"/>
        </bottom>
      </border>
    </dxf>
    <dxf>
      <font>
        <color theme="3" tint="0.79998168889431442"/>
      </font>
    </dxf>
    <dxf>
      <alignment horizontal="center" vertical="center" textRotation="0" wrapText="0" indent="0" justifyLastLine="0" shrinkToFit="0" readingOrder="0"/>
      <border diagonalUp="0" diagonalDown="0">
        <left style="thin">
          <color theme="0" tint="-0.499984740745262"/>
        </left>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border diagonalUp="0" diagonalDown="0">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border>
        <top style="thin">
          <color theme="0" tint="-0.499984740745262"/>
        </top>
      </border>
    </dxf>
    <dxf>
      <border diagonalUp="0" diagonalDown="0">
        <left style="thin">
          <color theme="0" tint="-0.499984740745262"/>
        </left>
        <right style="thin">
          <color theme="0" tint="-0.499984740745262"/>
        </right>
        <top style="thin">
          <color theme="0" tint="-0.499984740745262"/>
        </top>
        <bottom style="thin">
          <color theme="0" tint="-0.499984740745262"/>
        </bottom>
      </border>
    </dxf>
    <dxf>
      <border>
        <bottom style="thin">
          <color theme="0" tint="-0.499984740745262"/>
        </bottom>
      </border>
    </dxf>
    <dxf>
      <border diagonalUp="0" diagonalDown="0">
        <left style="thin">
          <color theme="0" tint="-0.499984740745262"/>
        </left>
        <right style="thin">
          <color theme="0" tint="-0.499984740745262"/>
        </right>
        <top/>
        <bottom/>
        <vertical style="thin">
          <color theme="0" tint="-0.499984740745262"/>
        </vertical>
        <horizontal style="thin">
          <color theme="0" tint="-0.499984740745262"/>
        </horizontal>
      </border>
    </dxf>
    <dxf>
      <font>
        <color theme="1" tint="0.14996795556505021"/>
      </font>
      <fill>
        <patternFill>
          <bgColor rgb="FFFFCC66"/>
        </patternFill>
      </fill>
    </dxf>
    <dxf>
      <fill>
        <patternFill>
          <bgColor rgb="FFFF9999"/>
        </patternFill>
      </fill>
    </dxf>
    <dxf>
      <fill>
        <patternFill>
          <bgColor theme="2" tint="-9.9948118533890809E-2"/>
        </patternFill>
      </fill>
    </dxf>
    <dxf>
      <numFmt numFmtId="2" formatCode="0.00"/>
    </dxf>
    <dxf>
      <numFmt numFmtId="0" formatCode="General"/>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numFmt numFmtId="1" formatCode="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164" formatCode="0.0"/>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164" formatCode="0.0"/>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164" formatCode="0.0"/>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164" formatCode="0.0"/>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164" formatCode="0.0"/>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164" formatCode="0.0"/>
      <alignment horizontal="center" vertical="bottom" textRotation="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1"/>
        <color theme="1" tint="4.9989318521683403E-2"/>
        <name val="Arial"/>
        <scheme val="none"/>
      </font>
      <numFmt numFmtId="164" formatCode="0.0"/>
      <alignment horizontal="center" vertical="bottom"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1" hidden="0"/>
    </dxf>
    <dxf>
      <font>
        <b val="0"/>
        <i val="0"/>
        <strike val="0"/>
        <outline val="0"/>
        <shadow val="0"/>
        <u val="none"/>
        <vertAlign val="baseline"/>
        <sz val="11"/>
        <color theme="1" tint="4.9989318521683403E-2"/>
        <name val="Arial"/>
        <scheme val="none"/>
      </font>
      <numFmt numFmtId="164" formatCode="0.0"/>
      <alignment horizontal="center" vertical="bottom" textRotation="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left" vertical="bottom" textRotation="0" wrapText="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1"/>
        <color theme="1" tint="4.9989318521683403E-2"/>
        <name val="Arial"/>
        <scheme val="none"/>
      </font>
      <numFmt numFmtId="0" formatCode="General"/>
      <alignment horizontal="center" vertical="bottom" textRotation="0" wrapText="0" indent="0" justifyLastLine="0" shrinkToFit="0" readingOrder="0"/>
      <border diagonalUp="0" diagonalDown="0" outline="0">
        <left style="thin">
          <color theme="0" tint="-0.499984740745262"/>
        </left>
        <right style="thin">
          <color theme="0" tint="-0.499984740745262"/>
        </right>
        <top/>
        <bottom/>
      </border>
      <protection locked="1" hidden="0"/>
    </dxf>
    <dxf>
      <border diagonalUp="0" diagonalDown="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1"/>
        <color theme="1" tint="4.9989318521683403E-2"/>
        <name val="Arial"/>
        <scheme val="none"/>
      </font>
      <numFmt numFmtId="0" formatCode="General"/>
      <fill>
        <patternFill>
          <fgColor indexed="64"/>
        </patternFill>
      </fill>
      <alignment horizontal="center" vertical="bottom" textRotation="0" wrapText="0" indent="0" justifyLastLine="0" shrinkToFit="0" readingOrder="0"/>
      <border diagonalUp="0" diagonalDown="0" outline="0"/>
      <protection locked="1" hidden="0"/>
    </dxf>
    <dxf>
      <border>
        <bottom style="thin">
          <color theme="0" tint="-0.499984740745262"/>
        </bottom>
      </border>
    </dxf>
    <dxf>
      <font>
        <strike val="0"/>
        <outline val="0"/>
        <shadow val="0"/>
        <u val="none"/>
        <vertAlign val="baseline"/>
        <sz val="11"/>
        <color theme="1" tint="4.9989318521683403E-2"/>
        <name val="Arial"/>
        <scheme val="none"/>
      </font>
      <numFmt numFmtId="0" formatCode="General"/>
      <fill>
        <patternFill patternType="none">
          <fgColor indexed="64"/>
          <bgColor indexed="65"/>
        </patternFill>
      </fill>
      <border diagonalUp="0" diagonalDown="0" outline="0">
        <left style="thin">
          <color theme="0" tint="-0.499984740745262"/>
        </left>
        <right style="thin">
          <color theme="0" tint="-0.499984740745262"/>
        </right>
        <top/>
        <bottom/>
      </border>
      <protection locked="1" hidden="0"/>
    </dxf>
    <dxf>
      <fill>
        <patternFill>
          <bgColor theme="0" tint="-4.9989318521683403E-2"/>
        </patternFill>
      </fill>
      <border>
        <bottom style="thin">
          <color auto="1"/>
        </bottom>
        <horizontal style="thin">
          <color auto="1"/>
        </horizontal>
      </border>
    </dxf>
    <dxf>
      <fill>
        <patternFill patternType="none">
          <bgColor auto="1"/>
        </patternFill>
      </fill>
      <border>
        <bottom style="thin">
          <color auto="1"/>
        </bottom>
        <vertical/>
        <horizontal style="thin">
          <color auto="1"/>
        </horizontal>
      </border>
    </dxf>
    <dxf>
      <font>
        <b/>
        <i val="0"/>
      </font>
      <fill>
        <patternFill>
          <fgColor theme="9" tint="0.79998168889431442"/>
          <bgColor theme="9" tint="0.79998168889431442"/>
        </patternFill>
      </fill>
    </dxf>
    <dxf>
      <fill>
        <patternFill>
          <bgColor theme="8" tint="0.79998168889431442"/>
        </patternFill>
      </fill>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5"/>
          <bgColor theme="5"/>
        </patternFill>
      </fill>
    </dxf>
    <dxf>
      <font>
        <b/>
        <color theme="0"/>
      </font>
      <fill>
        <patternFill patternType="solid">
          <fgColor theme="5"/>
          <bgColor theme="5"/>
        </patternFill>
      </fill>
    </dxf>
    <dxf>
      <border>
        <top style="double">
          <color theme="1"/>
        </top>
      </border>
    </dxf>
    <dxf>
      <font>
        <b val="0"/>
        <i val="0"/>
        <color theme="0"/>
      </font>
      <fill>
        <patternFill patternType="solid">
          <fgColor theme="2"/>
          <bgColor theme="2"/>
        </patternFill>
      </fill>
      <border>
        <bottom style="medium">
          <color theme="1"/>
        </bottom>
      </border>
    </dxf>
    <dxf>
      <font>
        <color theme="1"/>
      </font>
      <border>
        <top style="medium">
          <color theme="1"/>
        </top>
        <bottom style="medium">
          <color theme="1"/>
        </bottom>
      </border>
    </dxf>
  </dxfs>
  <tableStyles count="2" defaultTableStyle="TableStyleMedium2" defaultPivotStyle="PivotStyleLight16">
    <tableStyle name="AbsencesTableStyle" pivot="0" count="7" xr9:uid="{00000000-0011-0000-FFFF-FFFF00000000}">
      <tableStyleElement type="wholeTable" dxfId="503"/>
      <tableStyleElement type="headerRow" dxfId="502"/>
      <tableStyleElement type="totalRow" dxfId="501"/>
      <tableStyleElement type="firstColumn" dxfId="500"/>
      <tableStyleElement type="lastColumn" dxfId="499"/>
      <tableStyleElement type="firstRowStripe" dxfId="498"/>
      <tableStyleElement type="firstColumnStripe" dxfId="497"/>
    </tableStyle>
    <tableStyle name="Table Style Custom 2" pivot="0" count="4" xr9:uid="{00000000-0011-0000-FFFF-FFFF01000000}">
      <tableStyleElement type="wholeTable" dxfId="496"/>
      <tableStyleElement type="headerRow" dxfId="495"/>
      <tableStyleElement type="firstRowStripe" dxfId="494"/>
      <tableStyleElement type="secondRowStripe" dxfId="493"/>
    </tableStyle>
  </tableStyles>
  <colors>
    <mruColors>
      <color rgb="FFFFCCCC"/>
      <color rgb="FFFFFF99"/>
      <color rgb="FFCCFFCC"/>
      <color rgb="FFFF9999"/>
      <color rgb="FFFFCC66"/>
      <color rgb="FFFF7C80"/>
      <color rgb="FFFCEF58"/>
      <color rgb="FFFF9B9B"/>
      <color rgb="FFFCF378"/>
      <color rgb="FFFBEE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v>AssessmentType</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AF4-4816-83FA-50B27D2D577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AF4-4816-83FA-50B27D2D577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AF4-4816-83FA-50B27D2D577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AF4-4816-83FA-50B27D2D577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AF4-4816-83FA-50B27D2D577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EAF4-4816-83FA-50B27D2D5775}"/>
              </c:ext>
            </c:extLst>
          </c:dPt>
          <c:dLbls>
            <c:dLbl>
              <c:idx val="4"/>
              <c:layout>
                <c:manualLayout>
                  <c:x val="4.8683012724675241E-2"/>
                  <c:y val="-0.11677352830896139"/>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AF4-4816-83FA-50B27D2D5775}"/>
                </c:ext>
              </c:extLst>
            </c:dLbl>
            <c:dLbl>
              <c:idx val="5"/>
              <c:layout>
                <c:manualLayout>
                  <c:x val="2.357907793171413E-2"/>
                  <c:y val="6.5369328833895762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AF4-4816-83FA-50B27D2D577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'Data Entry'!$M$14:$R$14</c:f>
              <c:strCache>
                <c:ptCount val="6"/>
                <c:pt idx="0">
                  <c:v>Homeworks</c:v>
                </c:pt>
                <c:pt idx="1">
                  <c:v>Classworks</c:v>
                </c:pt>
                <c:pt idx="2">
                  <c:v>Tests</c:v>
                </c:pt>
                <c:pt idx="3">
                  <c:v>Projects</c:v>
                </c:pt>
                <c:pt idx="4">
                  <c:v>Another Type</c:v>
                </c:pt>
                <c:pt idx="5">
                  <c:v>Another Type 2</c:v>
                </c:pt>
              </c:strCache>
            </c:strRef>
          </c:cat>
          <c:val>
            <c:numRef>
              <c:f>'Data Entry'!$M$4:$R$4</c:f>
              <c:numCache>
                <c:formatCode>0%</c:formatCode>
                <c:ptCount val="6"/>
                <c:pt idx="0">
                  <c:v>0.1</c:v>
                </c:pt>
                <c:pt idx="1">
                  <c:v>0.2</c:v>
                </c:pt>
                <c:pt idx="2">
                  <c:v>0.4</c:v>
                </c:pt>
                <c:pt idx="3">
                  <c:v>0.3</c:v>
                </c:pt>
                <c:pt idx="4">
                  <c:v>0</c:v>
                </c:pt>
                <c:pt idx="5">
                  <c:v>0</c:v>
                </c:pt>
              </c:numCache>
            </c:numRef>
          </c:val>
          <c:extLst>
            <c:ext xmlns:c16="http://schemas.microsoft.com/office/drawing/2014/chart" uri="{C3380CC4-5D6E-409C-BE32-E72D297353CC}">
              <c16:uniqueId val="{0000000C-EAF4-4816-83FA-50B27D2D5775}"/>
            </c:ext>
          </c:extLst>
        </c:ser>
        <c:dLbls>
          <c:dLblPos val="bestFit"/>
          <c:showLegendKey val="0"/>
          <c:showVal val="1"/>
          <c:showCatName val="0"/>
          <c:showSerName val="0"/>
          <c:showPercent val="0"/>
          <c:showBubbleSize val="0"/>
          <c:showLeaderLines val="1"/>
        </c:dLbls>
        <c:firstSliceAng val="90"/>
      </c:pieChart>
      <c:spPr>
        <a:noFill/>
        <a:ln>
          <a:noFill/>
        </a:ln>
        <a:effectLst/>
      </c:spPr>
    </c:plotArea>
    <c:plotVisOnly val="0"/>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'Options and Things to Try'!$B$20:$B$32</c:f>
              <c:strCache>
                <c:ptCount val="13"/>
                <c:pt idx="0">
                  <c:v>F</c:v>
                </c:pt>
                <c:pt idx="1">
                  <c:v>D-</c:v>
                </c:pt>
                <c:pt idx="2">
                  <c:v>D</c:v>
                </c:pt>
                <c:pt idx="3">
                  <c:v>D+</c:v>
                </c:pt>
                <c:pt idx="4">
                  <c:v>C-</c:v>
                </c:pt>
                <c:pt idx="5">
                  <c:v>C</c:v>
                </c:pt>
                <c:pt idx="6">
                  <c:v>C+</c:v>
                </c:pt>
                <c:pt idx="7">
                  <c:v>B-</c:v>
                </c:pt>
                <c:pt idx="8">
                  <c:v>B</c:v>
                </c:pt>
                <c:pt idx="9">
                  <c:v>B+</c:v>
                </c:pt>
                <c:pt idx="10">
                  <c:v>A-</c:v>
                </c:pt>
                <c:pt idx="11">
                  <c:v>A</c:v>
                </c:pt>
                <c:pt idx="12">
                  <c:v>A+</c:v>
                </c:pt>
              </c:strCache>
            </c:strRef>
          </c:cat>
          <c:val>
            <c:numRef>
              <c:f>'Options and Things to Try'!$C$20:$C$32</c:f>
              <c:numCache>
                <c:formatCode>General</c:formatCode>
                <c:ptCount val="13"/>
                <c:pt idx="0">
                  <c:v>6</c:v>
                </c:pt>
                <c:pt idx="1">
                  <c:v>0</c:v>
                </c:pt>
                <c:pt idx="2">
                  <c:v>0</c:v>
                </c:pt>
                <c:pt idx="3">
                  <c:v>0</c:v>
                </c:pt>
                <c:pt idx="4">
                  <c:v>0</c:v>
                </c:pt>
                <c:pt idx="5">
                  <c:v>0</c:v>
                </c:pt>
                <c:pt idx="6">
                  <c:v>0</c:v>
                </c:pt>
                <c:pt idx="7">
                  <c:v>1</c:v>
                </c:pt>
                <c:pt idx="8">
                  <c:v>0</c:v>
                </c:pt>
                <c:pt idx="9">
                  <c:v>2</c:v>
                </c:pt>
                <c:pt idx="10">
                  <c:v>0</c:v>
                </c:pt>
                <c:pt idx="11">
                  <c:v>0</c:v>
                </c:pt>
                <c:pt idx="12">
                  <c:v>1</c:v>
                </c:pt>
              </c:numCache>
            </c:numRef>
          </c:val>
          <c:extLst>
            <c:ext xmlns:c16="http://schemas.microsoft.com/office/drawing/2014/chart" uri="{C3380CC4-5D6E-409C-BE32-E72D297353CC}">
              <c16:uniqueId val="{00000000-A2C3-4549-8B68-C65FEBA3C75B}"/>
            </c:ext>
          </c:extLst>
        </c:ser>
        <c:dLbls>
          <c:showLegendKey val="0"/>
          <c:showVal val="0"/>
          <c:showCatName val="0"/>
          <c:showSerName val="0"/>
          <c:showPercent val="0"/>
          <c:showBubbleSize val="0"/>
        </c:dLbls>
        <c:gapWidth val="219"/>
        <c:overlap val="-27"/>
        <c:axId val="217305352"/>
        <c:axId val="217305744"/>
      </c:barChart>
      <c:catAx>
        <c:axId val="217305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7305744"/>
        <c:crosses val="autoZero"/>
        <c:auto val="1"/>
        <c:lblAlgn val="ctr"/>
        <c:lblOffset val="100"/>
        <c:noMultiLvlLbl val="0"/>
      </c:catAx>
      <c:valAx>
        <c:axId val="2173057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 Students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73053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[Excel Grade Tracker AssessmentTypePoints.xlsx]Explore!ExplPivotTable</c:name>
    <c:fmtId val="2"/>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Explore!$B$3</c:f>
              <c:strCache>
                <c:ptCount val="1"/>
                <c:pt idx="0">
                  <c:v>Total</c:v>
                </c:pt>
              </c:strCache>
            </c:strRef>
          </c:tx>
          <c:spPr>
            <a:solidFill>
              <a:schemeClr val="accent1"/>
            </a:solidFill>
            <a:ln>
              <a:noFill/>
            </a:ln>
            <a:effectLst/>
          </c:spPr>
          <c:invertIfNegative val="0"/>
          <c:cat>
            <c:strRef>
              <c:f>Explore!$A$4:$A$5</c:f>
              <c:strCache>
                <c:ptCount val="1"/>
                <c:pt idx="0">
                  <c:v>1</c:v>
                </c:pt>
              </c:strCache>
            </c:strRef>
          </c:cat>
          <c:val>
            <c:numRef>
              <c:f>Explore!$B$4:$B$5</c:f>
              <c:numCache>
                <c:formatCode>0.00</c:formatCode>
                <c:ptCount val="1"/>
                <c:pt idx="0">
                  <c:v>36.006666666666675</c:v>
                </c:pt>
              </c:numCache>
            </c:numRef>
          </c:val>
          <c:extLst>
            <c:ext xmlns:c16="http://schemas.microsoft.com/office/drawing/2014/chart" uri="{C3380CC4-5D6E-409C-BE32-E72D297353CC}">
              <c16:uniqueId val="{00000000-39FA-4C97-B306-6CB79CFE4530}"/>
            </c:ext>
          </c:extLst>
        </c:ser>
        <c:dLbls>
          <c:showLegendKey val="0"/>
          <c:showVal val="0"/>
          <c:showCatName val="0"/>
          <c:showSerName val="0"/>
          <c:showPercent val="0"/>
          <c:showBubbleSize val="0"/>
        </c:dLbls>
        <c:gapWidth val="219"/>
        <c:overlap val="-27"/>
        <c:axId val="800677104"/>
        <c:axId val="1018729520"/>
      </c:barChart>
      <c:catAx>
        <c:axId val="800677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8729520"/>
        <c:crosses val="autoZero"/>
        <c:auto val="1"/>
        <c:lblAlgn val="ctr"/>
        <c:lblOffset val="100"/>
        <c:noMultiLvlLbl val="0"/>
      </c:catAx>
      <c:valAx>
        <c:axId val="101872952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06771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66676</xdr:colOff>
      <xdr:row>26</xdr:row>
      <xdr:rowOff>0</xdr:rowOff>
    </xdr:from>
    <xdr:to>
      <xdr:col>11</xdr:col>
      <xdr:colOff>95250</xdr:colOff>
      <xdr:row>31</xdr:row>
      <xdr:rowOff>0</xdr:rowOff>
    </xdr:to>
    <xdr:sp macro="" textlink="">
      <xdr:nvSpPr>
        <xdr:cNvPr id="7" name="Rounded Rectangular Callout 6">
          <a:extLst>
            <a:ext uri="{FF2B5EF4-FFF2-40B4-BE49-F238E27FC236}">
              <a16:creationId xmlns:a16="http://schemas.microsoft.com/office/drawing/2014/main" id="{00000000-0008-0000-0000-000007000000}"/>
            </a:ext>
          </a:extLst>
        </xdr:cNvPr>
        <xdr:cNvSpPr/>
      </xdr:nvSpPr>
      <xdr:spPr>
        <a:xfrm>
          <a:off x="66676" y="4905375"/>
          <a:ext cx="2981324" cy="904875"/>
        </a:xfrm>
        <a:prstGeom prst="wedgeRoundRectCallout">
          <a:avLst>
            <a:gd name="adj1" fmla="val -19249"/>
            <a:gd name="adj2" fmla="val -67763"/>
            <a:gd name="adj3" fmla="val 16667"/>
          </a:avLst>
        </a:prstGeom>
        <a:solidFill>
          <a:schemeClr val="accent6">
            <a:lumMod val="20000"/>
            <a:lumOff val="80000"/>
          </a:schemeClr>
        </a:solid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b="1" baseline="0"/>
            <a:t>Step 1: A</a:t>
          </a:r>
          <a:r>
            <a:rPr lang="en-US" sz="1100" b="1"/>
            <a:t>dd Students</a:t>
          </a:r>
          <a:endParaRPr lang="en-US" sz="1100" b="0"/>
        </a:p>
        <a:p>
          <a:pPr algn="l"/>
          <a:r>
            <a:rPr lang="en-US" sz="1100" baseline="0"/>
            <a:t>- Simply type right below the table and it will automatically expand. </a:t>
          </a:r>
        </a:p>
        <a:p>
          <a:pPr algn="l"/>
          <a:r>
            <a:rPr lang="en-US" sz="1100" baseline="0">
              <a:solidFill>
                <a:schemeClr val="bg1">
                  <a:lumMod val="65000"/>
                </a:schemeClr>
              </a:solidFill>
            </a:rPr>
            <a:t>To delete, click border, press delete</a:t>
          </a:r>
          <a:endParaRPr lang="en-US" sz="1100">
            <a:solidFill>
              <a:schemeClr val="bg1">
                <a:lumMod val="65000"/>
              </a:schemeClr>
            </a:solidFill>
          </a:endParaRPr>
        </a:p>
      </xdr:txBody>
    </xdr:sp>
    <xdr:clientData fPrintsWithSheet="0"/>
  </xdr:twoCellAnchor>
  <xdr:twoCellAnchor editAs="oneCell">
    <xdr:from>
      <xdr:col>18</xdr:col>
      <xdr:colOff>47625</xdr:colOff>
      <xdr:row>26</xdr:row>
      <xdr:rowOff>0</xdr:rowOff>
    </xdr:from>
    <xdr:to>
      <xdr:col>21</xdr:col>
      <xdr:colOff>409576</xdr:colOff>
      <xdr:row>31</xdr:row>
      <xdr:rowOff>1</xdr:rowOff>
    </xdr:to>
    <xdr:sp macro="" textlink="">
      <xdr:nvSpPr>
        <xdr:cNvPr id="8" name="Rounded Rectangular Callout 7">
          <a:extLst>
            <a:ext uri="{FF2B5EF4-FFF2-40B4-BE49-F238E27FC236}">
              <a16:creationId xmlns:a16="http://schemas.microsoft.com/office/drawing/2014/main" id="{00000000-0008-0000-0000-000008000000}"/>
            </a:ext>
          </a:extLst>
        </xdr:cNvPr>
        <xdr:cNvSpPr/>
      </xdr:nvSpPr>
      <xdr:spPr>
        <a:xfrm>
          <a:off x="6696075" y="4905375"/>
          <a:ext cx="2790826" cy="904876"/>
        </a:xfrm>
        <a:prstGeom prst="wedgeRoundRectCallout">
          <a:avLst>
            <a:gd name="adj1" fmla="val -36519"/>
            <a:gd name="adj2" fmla="val -83985"/>
            <a:gd name="adj3" fmla="val 16667"/>
          </a:avLst>
        </a:prstGeom>
        <a:solidFill>
          <a:schemeClr val="accent6">
            <a:lumMod val="20000"/>
            <a:lumOff val="80000"/>
          </a:schemeClr>
        </a:solid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b="1" baseline="0"/>
            <a:t>Step 3: S</a:t>
          </a:r>
          <a:r>
            <a:rPr lang="en-US" sz="1100" b="1"/>
            <a:t>tart Entering Scores </a:t>
          </a:r>
        </a:p>
        <a:p>
          <a:pPr algn="l"/>
          <a:r>
            <a:rPr lang="en-US" sz="1100" b="0"/>
            <a:t>- Enter</a:t>
          </a:r>
          <a:r>
            <a:rPr lang="en-US" sz="1100" b="0" baseline="0"/>
            <a:t> scores starting in column S</a:t>
          </a:r>
        </a:p>
        <a:p>
          <a:pPr algn="l"/>
          <a:r>
            <a:rPr lang="en-US" sz="1100" b="0" baseline="0"/>
            <a:t>- Fill in the header information at top</a:t>
          </a:r>
        </a:p>
        <a:p>
          <a:pPr algn="l"/>
          <a:r>
            <a:rPr lang="en-US" sz="1100" b="0" baseline="0">
              <a:solidFill>
                <a:schemeClr val="bg1">
                  <a:lumMod val="50000"/>
                </a:schemeClr>
              </a:solidFill>
            </a:rPr>
            <a:t>Good luck and feel free to explore!</a:t>
          </a:r>
        </a:p>
      </xdr:txBody>
    </xdr:sp>
    <xdr:clientData fPrintsWithSheet="0"/>
  </xdr:twoCellAnchor>
  <xdr:twoCellAnchor>
    <xdr:from>
      <xdr:col>2</xdr:col>
      <xdr:colOff>85724</xdr:colOff>
      <xdr:row>0</xdr:row>
      <xdr:rowOff>66676</xdr:rowOff>
    </xdr:from>
    <xdr:to>
      <xdr:col>9</xdr:col>
      <xdr:colOff>666750</xdr:colOff>
      <xdr:row>4</xdr:row>
      <xdr:rowOff>66676</xdr:rowOff>
    </xdr:to>
    <xdr:sp macro="" textlink="">
      <xdr:nvSpPr>
        <xdr:cNvPr id="9" name="Rounded Rectangle 8">
          <a:extLst>
            <a:ext uri="{FF2B5EF4-FFF2-40B4-BE49-F238E27FC236}">
              <a16:creationId xmlns:a16="http://schemas.microsoft.com/office/drawing/2014/main" id="{00000000-0008-0000-0000-000009000000}"/>
            </a:ext>
          </a:extLst>
        </xdr:cNvPr>
        <xdr:cNvSpPr/>
      </xdr:nvSpPr>
      <xdr:spPr>
        <a:xfrm>
          <a:off x="2114549" y="66676"/>
          <a:ext cx="6248401" cy="723900"/>
        </a:xfrm>
        <a:prstGeom prst="roundRect">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baseline="0"/>
            <a:t>    </a:t>
          </a:r>
          <a:r>
            <a:rPr lang="en-US" sz="1100"/>
            <a:t>These columns</a:t>
          </a:r>
          <a:r>
            <a:rPr lang="en-US" sz="1100" baseline="0"/>
            <a:t> hold demographic information and other data that you can use later to help analyze how your students are doing. Rename and make your own custom categories!</a:t>
          </a:r>
        </a:p>
        <a:p>
          <a:pPr algn="l"/>
          <a:r>
            <a:rPr lang="en-US" sz="1100" baseline="0">
              <a:solidFill>
                <a:schemeClr val="bg1">
                  <a:lumMod val="65000"/>
                </a:schemeClr>
              </a:solidFill>
            </a:rPr>
            <a:t>To delete, click border, press delete</a:t>
          </a:r>
          <a:endParaRPr lang="en-US" sz="1100">
            <a:solidFill>
              <a:schemeClr val="bg1">
                <a:lumMod val="65000"/>
              </a:schemeClr>
            </a:solidFill>
          </a:endParaRPr>
        </a:p>
      </xdr:txBody>
    </xdr:sp>
    <xdr:clientData fPrintsWithSheet="0"/>
  </xdr:twoCellAnchor>
  <xdr:twoCellAnchor editAs="oneCell">
    <xdr:from>
      <xdr:col>23</xdr:col>
      <xdr:colOff>157442</xdr:colOff>
      <xdr:row>1</xdr:row>
      <xdr:rowOff>25772</xdr:rowOff>
    </xdr:from>
    <xdr:to>
      <xdr:col>26</xdr:col>
      <xdr:colOff>378285</xdr:colOff>
      <xdr:row>13</xdr:row>
      <xdr:rowOff>991721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2492317" y="206747"/>
          <a:ext cx="2649718" cy="1812553"/>
        </a:xfrm>
        <a:prstGeom prst="roundRect">
          <a:avLst>
            <a:gd name="adj" fmla="val 8594"/>
          </a:avLst>
        </a:prstGeom>
        <a:solidFill>
          <a:srgbClr val="FFFFFF">
            <a:shade val="85000"/>
          </a:srgbClr>
        </a:solidFill>
        <a:ln>
          <a:solidFill>
            <a:schemeClr val="accent6"/>
          </a:solidFill>
        </a:ln>
        <a:effectLst/>
      </xdr:spPr>
    </xdr:pic>
    <xdr:clientData/>
  </xdr:twoCellAnchor>
  <xdr:twoCellAnchor>
    <xdr:from>
      <xdr:col>19</xdr:col>
      <xdr:colOff>77750</xdr:colOff>
      <xdr:row>5</xdr:row>
      <xdr:rowOff>11206</xdr:rowOff>
    </xdr:from>
    <xdr:to>
      <xdr:col>25</xdr:col>
      <xdr:colOff>762000</xdr:colOff>
      <xdr:row>9</xdr:row>
      <xdr:rowOff>68036</xdr:rowOff>
    </xdr:to>
    <xdr:sp macro="" textlink="">
      <xdr:nvSpPr>
        <xdr:cNvPr id="12" name="Rounded Rectangle 11">
          <a:extLst>
            <a:ext uri="{FF2B5EF4-FFF2-40B4-BE49-F238E27FC236}">
              <a16:creationId xmlns:a16="http://schemas.microsoft.com/office/drawing/2014/main" id="{00000000-0008-0000-0000-00000C000000}"/>
            </a:ext>
          </a:extLst>
        </xdr:cNvPr>
        <xdr:cNvSpPr/>
      </xdr:nvSpPr>
      <xdr:spPr>
        <a:xfrm>
          <a:off x="9174125" y="1030381"/>
          <a:ext cx="5542000" cy="78073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baseline="0"/>
            <a:t>    </a:t>
          </a:r>
          <a:r>
            <a:rPr lang="en-US" sz="1100"/>
            <a:t>These rows help tally the scores for</a:t>
          </a:r>
          <a:r>
            <a:rPr lang="en-US" sz="1100" baseline="0"/>
            <a:t> the above distribution chart. You can change the ranges on the Options and Things to Try sheet. Note: if you want to add more rows (to have more bars) insert rows above row 8 or 9 as the top and bottom formulas are different.</a:t>
          </a:r>
        </a:p>
      </xdr:txBody>
    </xdr:sp>
    <xdr:clientData fPrintsWithSheet="0"/>
  </xdr:twoCellAnchor>
  <xdr:twoCellAnchor>
    <xdr:from>
      <xdr:col>6</xdr:col>
      <xdr:colOff>234043</xdr:colOff>
      <xdr:row>24</xdr:row>
      <xdr:rowOff>69397</xdr:rowOff>
    </xdr:from>
    <xdr:to>
      <xdr:col>9</xdr:col>
      <xdr:colOff>586469</xdr:colOff>
      <xdr:row>29</xdr:row>
      <xdr:rowOff>25853</xdr:rowOff>
    </xdr:to>
    <xdr:sp macro="" textlink="">
      <xdr:nvSpPr>
        <xdr:cNvPr id="14" name="Rounded Rectangle 13">
          <a:extLst>
            <a:ext uri="{FF2B5EF4-FFF2-40B4-BE49-F238E27FC236}">
              <a16:creationId xmlns:a16="http://schemas.microsoft.com/office/drawing/2014/main" id="{00000000-0008-0000-0000-00000E000000}"/>
            </a:ext>
          </a:extLst>
        </xdr:cNvPr>
        <xdr:cNvSpPr/>
      </xdr:nvSpPr>
      <xdr:spPr>
        <a:xfrm>
          <a:off x="5554436" y="4559754"/>
          <a:ext cx="2801712" cy="840920"/>
        </a:xfrm>
        <a:prstGeom prst="roundRect">
          <a:avLst>
            <a:gd name="adj" fmla="val 4264"/>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baseline="0"/>
            <a:t>    The counts of absent and late come from a hidden "Absences" sheet. If you want to track absenses/lates, right click on the sheet tabs at bottom and click "Unhide."</a:t>
          </a:r>
          <a:endParaRPr lang="en-US" sz="1100">
            <a:solidFill>
              <a:schemeClr val="bg1">
                <a:lumMod val="65000"/>
              </a:schemeClr>
            </a:solidFill>
          </a:endParaRPr>
        </a:p>
      </xdr:txBody>
    </xdr:sp>
    <xdr:clientData fPrintsWithSheet="0"/>
  </xdr:twoCellAnchor>
  <xdr:twoCellAnchor>
    <xdr:from>
      <xdr:col>12</xdr:col>
      <xdr:colOff>76201</xdr:colOff>
      <xdr:row>26</xdr:row>
      <xdr:rowOff>9525</xdr:rowOff>
    </xdr:from>
    <xdr:to>
      <xdr:col>16</xdr:col>
      <xdr:colOff>285751</xdr:colOff>
      <xdr:row>32</xdr:row>
      <xdr:rowOff>9525</xdr:rowOff>
    </xdr:to>
    <xdr:sp macro="" textlink="">
      <xdr:nvSpPr>
        <xdr:cNvPr id="15" name="Rounded Rectangle 14">
          <a:extLst>
            <a:ext uri="{FF2B5EF4-FFF2-40B4-BE49-F238E27FC236}">
              <a16:creationId xmlns:a16="http://schemas.microsoft.com/office/drawing/2014/main" id="{00000000-0008-0000-0000-00000F000000}"/>
            </a:ext>
          </a:extLst>
        </xdr:cNvPr>
        <xdr:cNvSpPr/>
      </xdr:nvSpPr>
      <xdr:spPr>
        <a:xfrm>
          <a:off x="3505201" y="4914900"/>
          <a:ext cx="3448050" cy="1085850"/>
        </a:xfrm>
        <a:prstGeom prst="roundRect">
          <a:avLst>
            <a:gd name="adj" fmla="val 15143"/>
          </a:avLst>
        </a:prstGeom>
        <a:solidFill>
          <a:schemeClr val="bg2"/>
        </a:solidFill>
        <a:ln>
          <a:solidFill>
            <a:schemeClr val="bg2">
              <a:lumMod val="50000"/>
            </a:schemeClr>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b="1" baseline="0"/>
            <a:t>S</a:t>
          </a:r>
          <a:r>
            <a:rPr lang="en-US" sz="1100" b="1"/>
            <a:t>tep</a:t>
          </a:r>
          <a:r>
            <a:rPr lang="en-US" sz="1100" b="1" baseline="0"/>
            <a:t> 2:</a:t>
          </a:r>
          <a:r>
            <a:rPr lang="en-US" sz="1100" b="1"/>
            <a:t> Enter Grading</a:t>
          </a:r>
          <a:r>
            <a:rPr lang="en-US" sz="1100" b="1" baseline="0"/>
            <a:t> Breakdown</a:t>
          </a:r>
        </a:p>
        <a:p>
          <a:pPr algn="l"/>
          <a:r>
            <a:rPr lang="en-US" sz="1100" b="0" baseline="0"/>
            <a:t>- In M4:R4: what percent should each assessment type be in the running average? </a:t>
          </a:r>
        </a:p>
        <a:p>
          <a:pPr algn="l"/>
          <a:r>
            <a:rPr lang="en-US" sz="1100" b="0" baseline="0"/>
            <a:t>- Rename the assessment types if desired.</a:t>
          </a:r>
        </a:p>
        <a:p>
          <a:pPr algn="l"/>
          <a:r>
            <a:rPr lang="en-US" sz="1100" b="0" baseline="0">
              <a:solidFill>
                <a:schemeClr val="bg1">
                  <a:lumMod val="50000"/>
                </a:schemeClr>
              </a:solidFill>
            </a:rPr>
            <a:t>Use the +/- box above column R to hide these columns</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38</xdr:row>
      <xdr:rowOff>142875</xdr:rowOff>
    </xdr:from>
    <xdr:to>
      <xdr:col>3</xdr:col>
      <xdr:colOff>4591050</xdr:colOff>
      <xdr:row>40</xdr:row>
      <xdr:rowOff>84896</xdr:rowOff>
    </xdr:to>
    <xdr:sp macro="" textlink="">
      <xdr:nvSpPr>
        <xdr:cNvPr id="2" name="Rounded Rectangle 1">
          <a:extLst>
            <a:ext uri="{FF2B5EF4-FFF2-40B4-BE49-F238E27FC236}">
              <a16:creationId xmlns:a16="http://schemas.microsoft.com/office/drawing/2014/main" id="{00000000-0008-0000-0100-000002000000}"/>
            </a:ext>
          </a:extLst>
        </xdr:cNvPr>
        <xdr:cNvSpPr/>
      </xdr:nvSpPr>
      <xdr:spPr>
        <a:xfrm>
          <a:off x="57150" y="3676650"/>
          <a:ext cx="7086600" cy="323021"/>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100"/>
            <a:t>For the following</a:t>
          </a:r>
          <a:r>
            <a:rPr lang="en-US" sz="1100" baseline="0"/>
            <a:t> </a:t>
          </a:r>
          <a:r>
            <a:rPr lang="en-US" sz="1100" i="1" baseline="0"/>
            <a:t>Things To Try</a:t>
          </a:r>
          <a:r>
            <a:rPr lang="en-US" sz="1100" i="0" baseline="0"/>
            <a:t> if you mark </a:t>
          </a:r>
          <a:r>
            <a:rPr lang="en-US" sz="1100" i="1" baseline="0"/>
            <a:t>Tried It</a:t>
          </a:r>
          <a:r>
            <a:rPr lang="en-US" sz="1100" i="0" baseline="0"/>
            <a:t> in the darker boxes you will get more instructions.</a:t>
          </a:r>
          <a:endParaRPr lang="en-US" sz="1100" i="1"/>
        </a:p>
      </xdr:txBody>
    </xdr:sp>
    <xdr:clientData/>
  </xdr:twoCellAnchor>
  <xdr:twoCellAnchor>
    <xdr:from>
      <xdr:col>3</xdr:col>
      <xdr:colOff>66676</xdr:colOff>
      <xdr:row>1</xdr:row>
      <xdr:rowOff>19051</xdr:rowOff>
    </xdr:from>
    <xdr:to>
      <xdr:col>3</xdr:col>
      <xdr:colOff>4581526</xdr:colOff>
      <xdr:row>15</xdr:row>
      <xdr:rowOff>133351</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628650</xdr:colOff>
      <xdr:row>23</xdr:row>
      <xdr:rowOff>28575</xdr:rowOff>
    </xdr:from>
    <xdr:to>
      <xdr:col>3</xdr:col>
      <xdr:colOff>3952874</xdr:colOff>
      <xdr:row>32</xdr:row>
      <xdr:rowOff>95250</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247650</xdr:colOff>
      <xdr:row>0</xdr:row>
      <xdr:rowOff>180975</xdr:rowOff>
    </xdr:from>
    <xdr:to>
      <xdr:col>13</xdr:col>
      <xdr:colOff>238125</xdr:colOff>
      <xdr:row>8</xdr:row>
      <xdr:rowOff>114301</xdr:rowOff>
    </xdr:to>
    <xdr:sp macro="" textlink="">
      <xdr:nvSpPr>
        <xdr:cNvPr id="3" name="Rounded Rectangle 2">
          <a:extLst>
            <a:ext uri="{FF2B5EF4-FFF2-40B4-BE49-F238E27FC236}">
              <a16:creationId xmlns:a16="http://schemas.microsoft.com/office/drawing/2014/main" id="{00000000-0008-0000-0200-000003000000}"/>
            </a:ext>
          </a:extLst>
        </xdr:cNvPr>
        <xdr:cNvSpPr/>
      </xdr:nvSpPr>
      <xdr:spPr>
        <a:xfrm>
          <a:off x="2895600" y="180975"/>
          <a:ext cx="6696075" cy="1457326"/>
        </a:xfrm>
        <a:prstGeom prst="roundRect">
          <a:avLst>
            <a:gd name="adj" fmla="val 4386"/>
          </a:avLst>
        </a:prstGeom>
        <a:solidFill>
          <a:schemeClr val="tx2">
            <a:lumMod val="20000"/>
            <a:lumOff val="80000"/>
          </a:schemeClr>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Here is a PivotTable that can be used to summarize and show scores. There is a good deal to learn, but learning this is very </a:t>
          </a:r>
          <a:r>
            <a:rPr lang="en-US" sz="1100" i="1" baseline="0">
              <a:solidFill>
                <a:schemeClr val="dk1"/>
              </a:solidFill>
              <a:effectLst/>
              <a:latin typeface="+mn-lt"/>
              <a:ea typeface="+mn-ea"/>
              <a:cs typeface="+mn-cs"/>
            </a:rPr>
            <a:t>POWERFUL</a:t>
          </a:r>
          <a:r>
            <a:rPr lang="en-US" sz="1100" i="0" baseline="0">
              <a:solidFill>
                <a:schemeClr val="dk1"/>
              </a:solidFill>
              <a:effectLst/>
              <a:latin typeface="+mn-lt"/>
              <a:ea typeface="+mn-ea"/>
              <a:cs typeface="+mn-cs"/>
            </a:rPr>
            <a:t>.</a:t>
          </a:r>
          <a:endParaRPr lang="en-US">
            <a:effectLst/>
          </a:endParaRPr>
        </a:p>
        <a:p>
          <a:pPr algn="l"/>
          <a:endParaRPr lang="en-US" sz="1100" baseline="0"/>
        </a:p>
        <a:p>
          <a:pPr algn="l"/>
          <a:r>
            <a:rPr lang="en-US" sz="1100" baseline="0"/>
            <a:t>First, always click on the table and then under PivotTable Tools-&gt; options, </a:t>
          </a:r>
          <a:r>
            <a:rPr lang="en-US" sz="1100" b="1" baseline="0"/>
            <a:t>click refresh to update the data</a:t>
          </a:r>
          <a:r>
            <a:rPr lang="en-US" sz="1100" baseline="0"/>
            <a:t>.</a:t>
          </a:r>
        </a:p>
        <a:p>
          <a:pPr algn="l"/>
          <a:r>
            <a:rPr lang="en-US" sz="1100" i="0" baseline="0"/>
            <a:t>To change which score(s) are shown, click inside the table. </a:t>
          </a:r>
          <a:r>
            <a:rPr lang="en-US" sz="1100" b="1" i="0" baseline="0"/>
            <a:t>Drag and drop </a:t>
          </a:r>
          <a:r>
            <a:rPr lang="en-US" sz="1100" b="0" i="0" baseline="0"/>
            <a:t>fields into the four spots. Have fun!</a:t>
          </a:r>
        </a:p>
        <a:p>
          <a:pPr algn="l"/>
          <a:r>
            <a:rPr lang="en-US" sz="1100" b="0" i="0" baseline="0"/>
            <a:t>If you have not already, you can add more demographic data for your students. (See the hidden columns by expanding the plus box above cell K.)</a:t>
          </a:r>
        </a:p>
        <a:p>
          <a:pPr algn="l"/>
          <a:endParaRPr lang="en-US" sz="1100" b="0" i="0" baseline="0"/>
        </a:p>
        <a:p>
          <a:pPr algn="l"/>
          <a:endParaRPr lang="en-US" sz="1100" b="0" i="0" baseline="0"/>
        </a:p>
      </xdr:txBody>
    </xdr:sp>
    <xdr:clientData/>
  </xdr:twoCellAnchor>
  <xdr:twoCellAnchor>
    <xdr:from>
      <xdr:col>2</xdr:col>
      <xdr:colOff>533400</xdr:colOff>
      <xdr:row>12</xdr:row>
      <xdr:rowOff>61912</xdr:rowOff>
    </xdr:from>
    <xdr:to>
      <xdr:col>10</xdr:col>
      <xdr:colOff>228600</xdr:colOff>
      <xdr:row>26</xdr:row>
      <xdr:rowOff>138112</xdr:rowOff>
    </xdr:to>
    <xdr:graphicFrame macro="">
      <xdr:nvGraphicFramePr>
        <xdr:cNvPr id="2" name="Chart 1">
          <a:extLst>
            <a:ext uri="{FF2B5EF4-FFF2-40B4-BE49-F238E27FC236}">
              <a16:creationId xmlns:a16="http://schemas.microsoft.com/office/drawing/2014/main" id="{2A033F7A-F026-48DE-AD8D-2FA2559AA8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238125</xdr:colOff>
      <xdr:row>0</xdr:row>
      <xdr:rowOff>180974</xdr:rowOff>
    </xdr:from>
    <xdr:to>
      <xdr:col>12</xdr:col>
      <xdr:colOff>600075</xdr:colOff>
      <xdr:row>13</xdr:row>
      <xdr:rowOff>161925</xdr:rowOff>
    </xdr:to>
    <xdr:sp macro="" textlink="">
      <xdr:nvSpPr>
        <xdr:cNvPr id="2" name="Rounded Rectangle 1">
          <a:extLst>
            <a:ext uri="{FF2B5EF4-FFF2-40B4-BE49-F238E27FC236}">
              <a16:creationId xmlns:a16="http://schemas.microsoft.com/office/drawing/2014/main" id="{00000000-0008-0000-0300-000002000000}"/>
            </a:ext>
          </a:extLst>
        </xdr:cNvPr>
        <xdr:cNvSpPr/>
      </xdr:nvSpPr>
      <xdr:spPr>
        <a:xfrm>
          <a:off x="4791075" y="180974"/>
          <a:ext cx="7981950" cy="2943226"/>
        </a:xfrm>
        <a:prstGeom prst="roundRect">
          <a:avLst>
            <a:gd name="adj" fmla="val 2955"/>
          </a:avLst>
        </a:prstGeom>
        <a:solidFill>
          <a:schemeClr val="accent4">
            <a:lumMod val="40000"/>
            <a:lumOff val="60000"/>
          </a:schemeClr>
        </a:solidFill>
        <a:ln>
          <a:solidFill>
            <a:schemeClr val="accent4">
              <a:lumMod val="60000"/>
              <a:lumOff val="40000"/>
            </a:schemeClr>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200" b="1"/>
            <a:t>Grade Printouts </a:t>
          </a:r>
        </a:p>
        <a:p>
          <a:pPr algn="l"/>
          <a:r>
            <a:rPr lang="en-US" sz="1200" b="0">
              <a:effectLst/>
            </a:rPr>
            <a:t>Here </a:t>
          </a:r>
          <a:r>
            <a:rPr lang="en-US" sz="1200" b="0" baseline="0">
              <a:effectLst/>
            </a:rPr>
            <a:t>you can make grade printouts for one or all of your students.</a:t>
          </a:r>
        </a:p>
        <a:p>
          <a:pPr algn="l"/>
          <a:r>
            <a:rPr lang="en-US" sz="1200" b="0" baseline="0">
              <a:effectLst/>
            </a:rPr>
            <a:t>- First, customize the header to the left however you would like. The general comment will appear on all of the printouts.</a:t>
          </a:r>
        </a:p>
        <a:p>
          <a:pPr algn="l"/>
          <a:r>
            <a:rPr lang="en-US" sz="1200" b="0" baseline="0">
              <a:effectLst/>
            </a:rPr>
            <a:t>- Fill the cells in the rightmost column to the right until you get all the students. You need to select all the cells with stuff in them. And "fill" means select the cells and then drag the little square in the bottom right of the selection.</a:t>
          </a:r>
        </a:p>
        <a:p>
          <a:pPr algn="l"/>
          <a:r>
            <a:rPr lang="en-US" sz="1200" b="0" baseline="0">
              <a:effectLst/>
            </a:rPr>
            <a:t>- You can now hide row 15.</a:t>
          </a:r>
        </a:p>
        <a:p>
          <a:pPr algn="l"/>
          <a:r>
            <a:rPr lang="en-US" sz="1200" b="0" baseline="0">
              <a:effectLst/>
            </a:rPr>
            <a:t>- Fill the cells in the bottommost row down until you get all the assignments.</a:t>
          </a:r>
        </a:p>
        <a:p>
          <a:pPr algn="l"/>
          <a:r>
            <a:rPr lang="en-US" sz="1200" b="0" baseline="0">
              <a:effectLst/>
            </a:rPr>
            <a:t>Note 1: You might need to delete any extra assessment types row(s) if you have not used all six.</a:t>
          </a:r>
        </a:p>
        <a:p>
          <a:pPr algn="l"/>
          <a:r>
            <a:rPr lang="en-US" sz="1200" b="0" baseline="0">
              <a:effectLst/>
            </a:rPr>
            <a:t>Note 2: If you inserted new columns in the data entry sheet and things are not appearing quite right, expand the plus boxes, and edit the references.</a:t>
          </a:r>
        </a:p>
        <a:p>
          <a:pPr algn="l"/>
          <a:r>
            <a:rPr lang="en-US" sz="1200" b="0" baseline="0">
              <a:effectLst/>
            </a:rPr>
            <a:t>- Adjust the print area (under page layout) to cover all the area.</a:t>
          </a:r>
          <a:endParaRPr lang="en-US" b="0">
            <a:effectLst/>
          </a:endParaRPr>
        </a:p>
        <a:p>
          <a:pPr algn="l"/>
          <a:r>
            <a:rPr lang="en-US" sz="1100"/>
            <a:t>- When printing,</a:t>
          </a:r>
          <a:r>
            <a:rPr lang="en-US" sz="1100" baseline="0"/>
            <a:t> check to see with print preview that everything appears correctly. You can print just one page if you want just one student or you can print all the pages if you would like everyone.</a:t>
          </a:r>
        </a:p>
        <a:p>
          <a:pPr algn="l"/>
          <a:r>
            <a:rPr lang="en-US" sz="1100" baseline="0"/>
            <a:t>Note 3: this works by having set "print titles" on this sheet that repeat, and adjusting the margins to get only 1 student at a time. </a:t>
          </a:r>
        </a:p>
        <a:p>
          <a:pPr algn="l"/>
          <a:r>
            <a:rPr lang="en-US" sz="1100" baseline="0"/>
            <a:t>Also note: You got this! But definitely ask someone if something is confusing. You can keep these instructions for reference if desired.</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xdr:col>
      <xdr:colOff>66261</xdr:colOff>
      <xdr:row>14</xdr:row>
      <xdr:rowOff>157370</xdr:rowOff>
    </xdr:from>
    <xdr:to>
      <xdr:col>4</xdr:col>
      <xdr:colOff>1242</xdr:colOff>
      <xdr:row>29</xdr:row>
      <xdr:rowOff>47625</xdr:rowOff>
    </xdr:to>
    <xdr:sp macro="" textlink="">
      <xdr:nvSpPr>
        <xdr:cNvPr id="2" name="Rounded Rectangular Callout 1">
          <a:extLst>
            <a:ext uri="{FF2B5EF4-FFF2-40B4-BE49-F238E27FC236}">
              <a16:creationId xmlns:a16="http://schemas.microsoft.com/office/drawing/2014/main" id="{00000000-0008-0000-0400-000002000000}"/>
            </a:ext>
          </a:extLst>
        </xdr:cNvPr>
        <xdr:cNvSpPr/>
      </xdr:nvSpPr>
      <xdr:spPr>
        <a:xfrm>
          <a:off x="66261" y="3148220"/>
          <a:ext cx="2049531" cy="2747755"/>
        </a:xfrm>
        <a:prstGeom prst="wedgeRoundRectCallout">
          <a:avLst>
            <a:gd name="adj1" fmla="val -32979"/>
            <a:gd name="adj2" fmla="val -55495"/>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lang="en-US" sz="1100"/>
            <a:t>    Just like the main Data Entry sheet,</a:t>
          </a:r>
          <a:r>
            <a:rPr lang="en-US" sz="1100" baseline="0"/>
            <a:t> enter your student names here. Make sure they match exactly in spelling. Marks of absent and late go into the hidden columns on the main table. (Click the + box above column K to show.) </a:t>
          </a:r>
        </a:p>
        <a:p>
          <a:pPr algn="l"/>
          <a:r>
            <a:rPr lang="en-US" sz="1100" baseline="0"/>
            <a:t>    You could reference it for a participation grade, or make a graph comparing attendance and performance.</a:t>
          </a:r>
          <a:endParaRPr lang="en-US" sz="1100"/>
        </a:p>
      </xdr:txBody>
    </xdr:sp>
    <xdr:clientData/>
  </xdr:twoCellAnchor>
  <xdr:twoCellAnchor>
    <xdr:from>
      <xdr:col>4</xdr:col>
      <xdr:colOff>231914</xdr:colOff>
      <xdr:row>15</xdr:row>
      <xdr:rowOff>41411</xdr:rowOff>
    </xdr:from>
    <xdr:to>
      <xdr:col>13</xdr:col>
      <xdr:colOff>182218</xdr:colOff>
      <xdr:row>19</xdr:row>
      <xdr:rowOff>179293</xdr:rowOff>
    </xdr:to>
    <xdr:sp macro="" textlink="">
      <xdr:nvSpPr>
        <xdr:cNvPr id="3" name="Rounded Rectangular Callout 2">
          <a:extLst>
            <a:ext uri="{FF2B5EF4-FFF2-40B4-BE49-F238E27FC236}">
              <a16:creationId xmlns:a16="http://schemas.microsoft.com/office/drawing/2014/main" id="{00000000-0008-0000-0400-000003000000}"/>
            </a:ext>
          </a:extLst>
        </xdr:cNvPr>
        <xdr:cNvSpPr/>
      </xdr:nvSpPr>
      <xdr:spPr>
        <a:xfrm>
          <a:off x="2349826" y="2954940"/>
          <a:ext cx="2471627" cy="855059"/>
        </a:xfrm>
        <a:prstGeom prst="wedgeRoundRectCallout">
          <a:avLst>
            <a:gd name="adj1" fmla="val -26571"/>
            <a:gd name="adj2" fmla="val -76947"/>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lang="en-US" sz="1100"/>
            <a:t>Mark a for absent and l for late. One nice feature is that</a:t>
          </a:r>
          <a:r>
            <a:rPr lang="en-US" sz="1100" baseline="0"/>
            <a:t> the column for today's date is highlighted. </a:t>
          </a:r>
          <a:endParaRPr lang="en-US" sz="1100"/>
        </a:p>
      </xdr:txBody>
    </xdr:sp>
    <xdr:clientData/>
  </xdr:twoCellAnchor>
</xdr:wsDr>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uthor" refreshedDate="41953.855659606481" createdVersion="5" refreshedVersion="5" minRefreshableVersion="3" recordCount="10" xr:uid="{00000000-000A-0000-FFFF-FFFF00000000}">
  <cacheSource type="worksheet">
    <worksheetSource name="Trackerdata"/>
  </cacheSource>
  <cacheFields count="48">
    <cacheField name="Class" numFmtId="0">
      <sharedItems containsSemiMixedTypes="0" containsString="0" containsNumber="1" containsInteger="1" minValue="1" maxValue="1" count="1">
        <n v="1"/>
      </sharedItems>
    </cacheField>
    <cacheField name="Name" numFmtId="0">
      <sharedItems/>
    </cacheField>
    <cacheField name="Race" numFmtId="0">
      <sharedItems containsNonDate="0" containsString="0" containsBlank="1"/>
    </cacheField>
    <cacheField name="Gender" numFmtId="0">
      <sharedItems containsNonDate="0" containsString="0" containsBlank="1"/>
    </cacheField>
    <cacheField name="Age" numFmtId="0">
      <sharedItems containsNonDate="0" containsString="0" containsBlank="1"/>
    </cacheField>
    <cacheField name="Repeated Grades" numFmtId="0">
      <sharedItems containsNonDate="0" containsString="0" containsBlank="1"/>
    </cacheField>
    <cacheField name="Financial Status" numFmtId="0">
      <sharedItems containsNonDate="0" containsString="0" containsBlank="1"/>
    </cacheField>
    <cacheField name="Absent" numFmtId="0">
      <sharedItems containsSemiMixedTypes="0" containsString="0" containsNumber="1" containsInteger="1" minValue="0" maxValue="2"/>
    </cacheField>
    <cacheField name="Late" numFmtId="0">
      <sharedItems containsSemiMixedTypes="0" containsString="0" containsNumber="1" containsInteger="1" minValue="0" maxValue="1"/>
    </cacheField>
    <cacheField name="Make your own categories" numFmtId="0">
      <sharedItems containsNonDate="0" containsString="0" containsBlank="1"/>
    </cacheField>
    <cacheField name="Running Average" numFmtId="164">
      <sharedItems containsSemiMixedTypes="0" containsString="0" containsNumber="1" minValue="0" maxValue="100" count="5">
        <n v="100"/>
        <n v="89.733333333333334"/>
        <n v="82"/>
        <n v="88.333333333333343"/>
        <n v="0"/>
      </sharedItems>
      <fieldGroup base="10">
        <rangePr autoStart="0" startNum="60" endNum="100" groupInterval="10"/>
        <groupItems count="6">
          <s v="&lt;60"/>
          <s v="60-70"/>
          <s v="70-80"/>
          <s v="80-90"/>
          <s v="90-100"/>
          <s v="&gt;100"/>
        </groupItems>
      </fieldGroup>
    </cacheField>
    <cacheField name="Letter Grade" numFmtId="164">
      <sharedItems count="4">
        <s v="A+"/>
        <s v="B+"/>
        <s v="B-"/>
        <s v="F"/>
      </sharedItems>
    </cacheField>
    <cacheField name="Homeworks" numFmtId="164">
      <sharedItems containsSemiMixedTypes="0" containsString="0" containsNumber="1" minValue="0" maxValue="100"/>
    </cacheField>
    <cacheField name="Classworks" numFmtId="164">
      <sharedItems containsSemiMixedTypes="0" containsString="0" containsNumber="1" minValue="0" maxValue="100"/>
    </cacheField>
    <cacheField name="Tests" numFmtId="164">
      <sharedItems containsSemiMixedTypes="0" containsString="0" containsNumber="1" containsInteger="1" minValue="0" maxValue="100"/>
    </cacheField>
    <cacheField name="Projects" numFmtId="164">
      <sharedItems containsSemiMixedTypes="0" containsString="0" containsNumber="1" containsInteger="1" minValue="0" maxValue="100"/>
    </cacheField>
    <cacheField name="Another Type" numFmtId="164">
      <sharedItems/>
    </cacheField>
    <cacheField name="Another Type 2" numFmtId="164">
      <sharedItems/>
    </cacheField>
    <cacheField name="Homework One" numFmtId="0">
      <sharedItems containsString="0" containsBlank="1" containsNumber="1" containsInteger="1" minValue="8" maxValue="10"/>
    </cacheField>
    <cacheField name="Classwork  One" numFmtId="0">
      <sharedItems containsString="0" containsBlank="1" containsNumber="1" containsInteger="1" minValue="10" maxValue="15"/>
    </cacheField>
    <cacheField name="Homework Two" numFmtId="0">
      <sharedItems containsBlank="1" containsMixedTypes="1" containsNumber="1" containsInteger="1" minValue="4" maxValue="5"/>
    </cacheField>
    <cacheField name="First Test" numFmtId="0">
      <sharedItems containsString="0" containsBlank="1" containsNumber="1" containsInteger="1" minValue="40" maxValue="50"/>
    </cacheField>
    <cacheField name="Project" numFmtId="0">
      <sharedItems containsString="0" containsBlank="1" containsNumber="1" containsInteger="1" minValue="8" maxValue="10"/>
    </cacheField>
    <cacheField name="Assessment 2" numFmtId="0">
      <sharedItems containsNonDate="0" containsString="0" containsBlank="1"/>
    </cacheField>
    <cacheField name="Assessment 3" numFmtId="0">
      <sharedItems containsNonDate="0" containsString="0" containsBlank="1"/>
    </cacheField>
    <cacheField name="Assessment 4" numFmtId="0">
      <sharedItems containsNonDate="0" containsString="0" containsBlank="1"/>
    </cacheField>
    <cacheField name="Assessment 5" numFmtId="0">
      <sharedItems containsNonDate="0" containsString="0" containsBlank="1"/>
    </cacheField>
    <cacheField name="Assessment 6" numFmtId="0">
      <sharedItems containsNonDate="0" containsString="0" containsBlank="1"/>
    </cacheField>
    <cacheField name="Assessment 7" numFmtId="0">
      <sharedItems containsNonDate="0" containsString="0" containsBlank="1"/>
    </cacheField>
    <cacheField name="Assessment 8" numFmtId="0">
      <sharedItems containsNonDate="0" containsString="0" containsBlank="1"/>
    </cacheField>
    <cacheField name="Assessment 9" numFmtId="0">
      <sharedItems containsNonDate="0" containsString="0" containsBlank="1"/>
    </cacheField>
    <cacheField name="Assessment 10" numFmtId="0">
      <sharedItems containsNonDate="0" containsString="0" containsBlank="1"/>
    </cacheField>
    <cacheField name="Assessment 11" numFmtId="0">
      <sharedItems containsNonDate="0" containsString="0" containsBlank="1"/>
    </cacheField>
    <cacheField name="Assessment 12" numFmtId="0">
      <sharedItems containsNonDate="0" containsString="0" containsBlank="1"/>
    </cacheField>
    <cacheField name="Assessment 13" numFmtId="0">
      <sharedItems containsNonDate="0" containsString="0" containsBlank="1"/>
    </cacheField>
    <cacheField name="Assessment 14" numFmtId="0">
      <sharedItems containsNonDate="0" containsString="0" containsBlank="1"/>
    </cacheField>
    <cacheField name="Assessment 15" numFmtId="0">
      <sharedItems containsNonDate="0" containsString="0" containsBlank="1"/>
    </cacheField>
    <cacheField name="Assessment 16" numFmtId="0">
      <sharedItems containsNonDate="0" containsString="0" containsBlank="1"/>
    </cacheField>
    <cacheField name="Assessment 17" numFmtId="0">
      <sharedItems containsNonDate="0" containsString="0" containsBlank="1"/>
    </cacheField>
    <cacheField name="Assessment 18" numFmtId="0">
      <sharedItems containsNonDate="0" containsString="0" containsBlank="1"/>
    </cacheField>
    <cacheField name="Assessment 19" numFmtId="0">
      <sharedItems containsNonDate="0" containsString="0" containsBlank="1"/>
    </cacheField>
    <cacheField name="Assessment 20" numFmtId="0">
      <sharedItems containsNonDate="0" containsString="0" containsBlank="1"/>
    </cacheField>
    <cacheField name="Assessment 21" numFmtId="0">
      <sharedItems containsNonDate="0" containsString="0" containsBlank="1"/>
    </cacheField>
    <cacheField name="Assessment 22" numFmtId="0">
      <sharedItems containsNonDate="0" containsString="0" containsBlank="1"/>
    </cacheField>
    <cacheField name="Assessment 23" numFmtId="0">
      <sharedItems containsNonDate="0" containsString="0" containsBlank="1"/>
    </cacheField>
    <cacheField name="Assessment 24" numFmtId="0">
      <sharedItems containsNonDate="0" containsString="0" containsBlank="1"/>
    </cacheField>
    <cacheField name="Assessment 25" numFmtId="0">
      <sharedItems containsNonDate="0" containsString="0" containsBlank="1"/>
    </cacheField>
    <cacheField name="Assessment | Insert new columns before here" numFmtId="0">
      <sharedItems containsNonDate="0" containsString="0" containsBlank="1"/>
    </cacheField>
  </cacheFields>
  <extLst>
    <ext xmlns:x14="http://schemas.microsoft.com/office/spreadsheetml/2009/9/main" uri="{725AE2AE-9491-48be-B2B4-4EB974FC3084}">
      <x14:pivotCacheDefinition/>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ExplPivotTable" cacheId="0" applyNumberFormats="0" applyBorderFormats="0" applyFontFormats="0" applyPatternFormats="0" applyAlignmentFormats="0" applyWidthHeightFormats="1" dataCaption="Values" errorCaption="None" showError="1" updatedVersion="5" minRefreshableVersion="3" enableDrill="0" useAutoFormatting="1" itemPrintTitles="1" createdVersion="5" indent="0" outline="1" outlineData="1" multipleFieldFilters="0" chartFormat="3">
  <location ref="A3:B5" firstHeaderRow="1" firstDataRow="1" firstDataCol="1"/>
  <pivotFields count="48">
    <pivotField axis="axisRow" showAll="0">
      <items count="2">
        <item x="0"/>
        <item t="default"/>
      </items>
    </pivotField>
    <pivotField showAll="0"/>
    <pivotField showAll="0"/>
    <pivotField showAll="0"/>
    <pivotField showAll="0"/>
    <pivotField showAll="0"/>
    <pivotField showAll="0"/>
    <pivotField showAll="0" defaultSubtotal="0"/>
    <pivotField showAll="0" defaultSubtotal="0"/>
    <pivotField showAll="0"/>
    <pivotField dataField="1" numFmtId="164" showAll="0" defaultSubtotal="0"/>
    <pivotField showAll="0" defaultSubtotal="0">
      <items count="4">
        <item x="0"/>
        <item x="2"/>
        <item x="1"/>
        <item x="3"/>
      </items>
    </pivotField>
    <pivotField numFmtId="164" showAll="0" defaultSubtotal="0"/>
    <pivotField numFmtId="164" showAll="0" defaultSubtotal="0"/>
    <pivotField numFmtId="164"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s>
  <rowFields count="1">
    <field x="0"/>
  </rowFields>
  <rowItems count="2">
    <i>
      <x/>
    </i>
    <i t="grand">
      <x/>
    </i>
  </rowItems>
  <colItems count="1">
    <i/>
  </colItems>
  <dataFields count="1">
    <dataField name="Average of Running Average" fld="10" subtotal="average" baseField="0" baseItem="0"/>
  </dataFields>
  <formats count="1">
    <format dxfId="412">
      <pivotArea outline="0" collapsedLevelsAreSubtotals="1" fieldPosition="0"/>
    </format>
  </formats>
  <chartFormats count="2">
    <chartFormat chart="0" format="1" series="1">
      <pivotArea type="data" outline="0" fieldPosition="0">
        <references count="1">
          <reference field="4294967294" count="1" selected="0">
            <x v="0"/>
          </reference>
        </references>
      </pivotArea>
    </chartFormat>
    <chartFormat chart="2"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rackerdata" displayName="Trackerdata" ref="A14:AV24" headerRowDxfId="492" dataDxfId="490" totalsRowDxfId="488" headerRowBorderDxfId="491" tableBorderDxfId="489">
  <autoFilter ref="A14:AV24" xr:uid="{00000000-0009-0000-0100-000003000000}"/>
  <tableColumns count="48">
    <tableColumn id="1" xr3:uid="{00000000-0010-0000-0000-000001000000}" name="Class" totalsRowLabel="1" dataDxfId="487"/>
    <tableColumn id="2" xr3:uid="{00000000-0010-0000-0000-000002000000}" name="Name" totalsRowLabel="Student 9" dataDxfId="486"/>
    <tableColumn id="3" xr3:uid="{00000000-0010-0000-0000-000003000000}" name="Race" dataDxfId="485"/>
    <tableColumn id="4" xr3:uid="{00000000-0010-0000-0000-000004000000}" name="Gender" dataDxfId="484"/>
    <tableColumn id="5" xr3:uid="{00000000-0010-0000-0000-000005000000}" name="Age" dataDxfId="483"/>
    <tableColumn id="6" xr3:uid="{00000000-0010-0000-0000-000006000000}" name="Repeated Grades" dataDxfId="482"/>
    <tableColumn id="7" xr3:uid="{00000000-0010-0000-0000-000007000000}" name="Financial Status" dataDxfId="481"/>
    <tableColumn id="28" xr3:uid="{00000000-0010-0000-0000-00001C000000}" name="Absent" dataDxfId="480">
      <calculatedColumnFormula>IFERROR(VLOOKUP(Trackerdata[[#This Row],[Name]],AbsentTardyTable[[Student]:[L]],2,FALSE),"No match")</calculatedColumnFormula>
    </tableColumn>
    <tableColumn id="8" xr3:uid="{00000000-0010-0000-0000-000008000000}" name="Late" dataDxfId="479">
      <calculatedColumnFormula>IFERROR(VLOOKUP(Trackerdata[[#This Row],[Name]],AbsentTardyTable[[Student]:[L]],3,FALSE),"No match")</calculatedColumnFormula>
    </tableColumn>
    <tableColumn id="237" xr3:uid="{00000000-0010-0000-0000-0000ED000000}" name="Make your own categories" dataDxfId="478"/>
    <tableColumn id="236" xr3:uid="{00000000-0010-0000-0000-0000EC000000}" name="Running Average" totalsRowFunction="average" dataDxfId="477" dataCellStyle="Percent">
      <calculatedColumnFormula>IFERROR(SUMPRODUCT(PercentageBreakdownCells,$M15:$R15)/SUM(PercentageBreakdownCells),"")</calculatedColumnFormula>
    </tableColumn>
    <tableColumn id="19" xr3:uid="{00000000-0010-0000-0000-000013000000}" name="Letter Grade" dataDxfId="476" dataCellStyle="Percent">
      <calculatedColumnFormula>VLOOKUP(Trackerdata[[#This Row],[Running Average]],TableOfLetterGrades[],2,TRUE)</calculatedColumnFormula>
    </tableColumn>
    <tableColumn id="27" xr3:uid="{00000000-0010-0000-0000-00001B000000}" name="Homeworks" dataDxfId="475" dataCellStyle="Percent">
      <calculatedColumnFormula>IFERROR(SUMPRODUCT($S15:$AV15,$S$3:$AV$3,--($S15:$AV15&lt;&gt;"Excused"),--($S$1:$AV$1=M$14))/SUMPRODUCT($S$2:$AV$2,$S$3:$AV$3,--($S15:$AV15&lt;&gt;"Excused"),--($S$1:$AV$1=M$14))*100,"")</calculatedColumnFormula>
    </tableColumn>
    <tableColumn id="42" xr3:uid="{00000000-0010-0000-0000-00002A000000}" name="Classworks" dataDxfId="474" dataCellStyle="Percent">
      <calculatedColumnFormula>IFERROR(SUMPRODUCT($S15:$AV15,$S$3:$AV$3,--($S15:$AV15&lt;&gt;"Excused"),--($S$1:$AV$1=N$14))/SUMPRODUCT($S$2:$AV$2,$S$3:$AV$3,--($S15:$AV15&lt;&gt;"Excused"),--($S$1:$AV$1=N$14))*100,"")</calculatedColumnFormula>
    </tableColumn>
    <tableColumn id="233" xr3:uid="{00000000-0010-0000-0000-0000E9000000}" name="Tests" dataDxfId="473" dataCellStyle="Percent">
      <calculatedColumnFormula>IFERROR(SUMPRODUCT($S15:$AV15,$S$3:$AV$3,--($S15:$AV15&lt;&gt;"Excused"),--($S$1:$AV$1=O$14))/SUMPRODUCT($S$2:$AV$2,$S$3:$AV$3,--($S15:$AV15&lt;&gt;"Excused"),--($S$1:$AV$1=O$14))*100,"")</calculatedColumnFormula>
    </tableColumn>
    <tableColumn id="253" xr3:uid="{00000000-0010-0000-0000-0000FD000000}" name="Projects" dataDxfId="472" dataCellStyle="Percent">
      <calculatedColumnFormula>IFERROR(SUMPRODUCT($S15:$AV15,$S$3:$AV$3,--($S15:$AV15&lt;&gt;"Excused"),--($S$1:$AV$1=P$14))/SUMPRODUCT($S$2:$AV$2,$S$3:$AV$3,--($S15:$AV15&lt;&gt;"Excused"),--($S$1:$AV$1=P$14))*100,"")</calculatedColumnFormula>
    </tableColumn>
    <tableColumn id="252" xr3:uid="{00000000-0010-0000-0000-0000FC000000}" name="Another Type" dataDxfId="471" dataCellStyle="Percent">
      <calculatedColumnFormula>IFERROR(SUMPRODUCT($S15:$AV15,$S$3:$AV$3,--($S15:$AV15&lt;&gt;"Excused"),--($S$1:$AV$1=Q$14))/SUMPRODUCT($S$2:$AV$2,$S$3:$AV$3,--($S15:$AV15&lt;&gt;"Excused"),--($S$1:$AV$1=Q$14))*100,"")</calculatedColumnFormula>
    </tableColumn>
    <tableColumn id="251" xr3:uid="{00000000-0010-0000-0000-0000FB000000}" name="Another Type 2" dataDxfId="470" dataCellStyle="Percent">
      <calculatedColumnFormula>IFERROR(SUMPRODUCT($S15:$AV15,$S$3:$AV$3,--($S15:$AV15&lt;&gt;"Excused"),--($S$1:$AV$1=R$14))/SUMPRODUCT($S$2:$AV$2,$S$3:$AV$3,--($S15:$AV15&lt;&gt;"Excused"),--($S$1:$AV$1=R$14))*100,"")</calculatedColumnFormula>
    </tableColumn>
    <tableColumn id="10" xr3:uid="{00000000-0010-0000-0000-00000A000000}" name="Homework One" dataDxfId="469" dataCellStyle="Percent"/>
    <tableColumn id="11" xr3:uid="{00000000-0010-0000-0000-00000B000000}" name="Classwork  One" dataDxfId="468" dataCellStyle="Percent"/>
    <tableColumn id="244" xr3:uid="{00000000-0010-0000-0000-0000F4000000}" name="Homework Two" dataDxfId="467"/>
    <tableColumn id="245" xr3:uid="{00000000-0010-0000-0000-0000F5000000}" name="First Test" dataDxfId="466"/>
    <tableColumn id="12" xr3:uid="{00000000-0010-0000-0000-00000C000000}" name="Project" dataDxfId="465" totalsRowDxfId="464" dataCellStyle="Percent"/>
    <tableColumn id="13" xr3:uid="{00000000-0010-0000-0000-00000D000000}" name="Assessment 2" dataDxfId="463" totalsRowDxfId="462" dataCellStyle="Percent"/>
    <tableColumn id="246" xr3:uid="{00000000-0010-0000-0000-0000F6000000}" name="Assessment 3" dataDxfId="461" totalsRowDxfId="460"/>
    <tableColumn id="247" xr3:uid="{00000000-0010-0000-0000-0000F7000000}" name="Assessment 4" dataDxfId="459" totalsRowDxfId="458"/>
    <tableColumn id="14" xr3:uid="{00000000-0010-0000-0000-00000E000000}" name="Assessment 5" dataDxfId="457" totalsRowDxfId="456" dataCellStyle="Percent"/>
    <tableColumn id="15" xr3:uid="{00000000-0010-0000-0000-00000F000000}" name="Assessment 6" dataDxfId="455" totalsRowDxfId="454" dataCellStyle="Percent"/>
    <tableColumn id="16" xr3:uid="{00000000-0010-0000-0000-000010000000}" name="Assessment 7" dataDxfId="453" totalsRowDxfId="452" dataCellStyle="Percent"/>
    <tableColumn id="17" xr3:uid="{00000000-0010-0000-0000-000011000000}" name="Assessment 8" dataDxfId="451" totalsRowDxfId="450" dataCellStyle="Percent"/>
    <tableColumn id="18" xr3:uid="{00000000-0010-0000-0000-000012000000}" name="Assessment 9" dataDxfId="449" totalsRowDxfId="448" dataCellStyle="Percent"/>
    <tableColumn id="30" xr3:uid="{00000000-0010-0000-0000-00001E000000}" name="Assessment 10" dataDxfId="447" totalsRowDxfId="446" dataCellStyle="Percent"/>
    <tableColumn id="41" xr3:uid="{00000000-0010-0000-0000-000029000000}" name="Assessment 11" dataDxfId="445" totalsRowDxfId="444" dataCellStyle="Percent"/>
    <tableColumn id="43" xr3:uid="{00000000-0010-0000-0000-00002B000000}" name="Assessment 12" dataDxfId="443" totalsRowDxfId="442" dataCellStyle="Percent"/>
    <tableColumn id="44" xr3:uid="{00000000-0010-0000-0000-00002C000000}" name="Assessment 13" dataDxfId="441" totalsRowDxfId="440" dataCellStyle="Percent"/>
    <tableColumn id="45" xr3:uid="{00000000-0010-0000-0000-00002D000000}" name="Assessment 14" dataDxfId="439" totalsRowDxfId="438" dataCellStyle="Percent"/>
    <tableColumn id="46" xr3:uid="{00000000-0010-0000-0000-00002E000000}" name="Assessment 15" dataDxfId="437" totalsRowDxfId="436" dataCellStyle="Percent"/>
    <tableColumn id="47" xr3:uid="{00000000-0010-0000-0000-00002F000000}" name="Assessment 16" dataDxfId="435" totalsRowDxfId="434" dataCellStyle="Percent"/>
    <tableColumn id="48" xr3:uid="{00000000-0010-0000-0000-000030000000}" name="Assessment 17" dataDxfId="433" totalsRowDxfId="432" dataCellStyle="Percent"/>
    <tableColumn id="49" xr3:uid="{00000000-0010-0000-0000-000031000000}" name="Assessment 18" dataDxfId="431" totalsRowDxfId="430" dataCellStyle="Percent"/>
    <tableColumn id="50" xr3:uid="{00000000-0010-0000-0000-000032000000}" name="Assessment 19" dataDxfId="429" totalsRowDxfId="428" dataCellStyle="Percent"/>
    <tableColumn id="51" xr3:uid="{00000000-0010-0000-0000-000033000000}" name="Assessment 20" dataDxfId="427" totalsRowDxfId="426" dataCellStyle="Percent"/>
    <tableColumn id="52" xr3:uid="{00000000-0010-0000-0000-000034000000}" name="Assessment 21" dataDxfId="425" totalsRowDxfId="424" dataCellStyle="Percent"/>
    <tableColumn id="53" xr3:uid="{00000000-0010-0000-0000-000035000000}" name="Assessment 22" dataDxfId="423" totalsRowDxfId="422" dataCellStyle="Percent"/>
    <tableColumn id="54" xr3:uid="{00000000-0010-0000-0000-000036000000}" name="Assessment 23" dataDxfId="421" totalsRowDxfId="420" dataCellStyle="Percent"/>
    <tableColumn id="55" xr3:uid="{00000000-0010-0000-0000-000037000000}" name="Assessment 24" dataDxfId="419" totalsRowDxfId="418" dataCellStyle="Percent"/>
    <tableColumn id="56" xr3:uid="{00000000-0010-0000-0000-000038000000}" name="Assessment 25" dataDxfId="417" totalsRowDxfId="416" dataCellStyle="Percent"/>
    <tableColumn id="57" xr3:uid="{00000000-0010-0000-0000-000039000000}" name="Assessment | Insert new columns before here" dataDxfId="415" totalsRowDxfId="414" dataCellStyle="Percent"/>
  </tableColumns>
  <tableStyleInfo name="Table Style Custom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OfLetterGrades" displayName="TableOfLetterGrades" ref="A19:C32" totalsRowShown="0">
  <autoFilter ref="A19:C32" xr:uid="{00000000-0009-0000-0100-000002000000}"/>
  <tableColumns count="3">
    <tableColumn id="1" xr3:uid="{00000000-0010-0000-0100-000001000000}" name="Score"/>
    <tableColumn id="2" xr3:uid="{00000000-0010-0000-0100-000002000000}" name="Grade"/>
    <tableColumn id="3" xr3:uid="{00000000-0010-0000-0100-000003000000}" name="Freq" dataDxfId="413">
      <calculatedColumnFormula>COUNTIF(Trackerdata[Letter Grade],B20)</calculatedColumnFormula>
    </tableColumn>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AbsentTardyTable" displayName="AbsentTardyTable" ref="B3:NE13" totalsRowShown="0" headerRowDxfId="408" headerRowBorderDxfId="407" tableBorderDxfId="406" totalsRowBorderDxfId="405">
  <autoFilter ref="B3:NE13"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filterColumn colId="83" hiddenButton="1"/>
    <filterColumn colId="84" hiddenButton="1"/>
    <filterColumn colId="85" hiddenButton="1"/>
    <filterColumn colId="86" hiddenButton="1"/>
    <filterColumn colId="87" hiddenButton="1"/>
    <filterColumn colId="88" hiddenButton="1"/>
    <filterColumn colId="89" hiddenButton="1"/>
    <filterColumn colId="90" hiddenButton="1"/>
    <filterColumn colId="91" hiddenButton="1"/>
    <filterColumn colId="92" hiddenButton="1"/>
    <filterColumn colId="93" hiddenButton="1"/>
    <filterColumn colId="94" hiddenButton="1"/>
    <filterColumn colId="95" hiddenButton="1"/>
    <filterColumn colId="96" hiddenButton="1"/>
    <filterColumn colId="97" hiddenButton="1"/>
    <filterColumn colId="98" hiddenButton="1"/>
    <filterColumn colId="99" hiddenButton="1"/>
    <filterColumn colId="100" hiddenButton="1"/>
    <filterColumn colId="101" hiddenButton="1"/>
    <filterColumn colId="102" hiddenButton="1"/>
    <filterColumn colId="103" hiddenButton="1"/>
    <filterColumn colId="104" hiddenButton="1"/>
    <filterColumn colId="105" hiddenButton="1"/>
    <filterColumn colId="106" hiddenButton="1"/>
    <filterColumn colId="107" hiddenButton="1"/>
    <filterColumn colId="108" hiddenButton="1"/>
    <filterColumn colId="109" hiddenButton="1"/>
    <filterColumn colId="110" hiddenButton="1"/>
    <filterColumn colId="111" hiddenButton="1"/>
    <filterColumn colId="112" hiddenButton="1"/>
    <filterColumn colId="113" hiddenButton="1"/>
    <filterColumn colId="114" hiddenButton="1"/>
    <filterColumn colId="115" hiddenButton="1"/>
    <filterColumn colId="116" hiddenButton="1"/>
    <filterColumn colId="117" hiddenButton="1"/>
    <filterColumn colId="118" hiddenButton="1"/>
    <filterColumn colId="119" hiddenButton="1"/>
    <filterColumn colId="120" hiddenButton="1"/>
    <filterColumn colId="121" hiddenButton="1"/>
    <filterColumn colId="122" hiddenButton="1"/>
    <filterColumn colId="123" hiddenButton="1"/>
    <filterColumn colId="124" hiddenButton="1"/>
    <filterColumn colId="125" hiddenButton="1"/>
    <filterColumn colId="126" hiddenButton="1"/>
    <filterColumn colId="127" hiddenButton="1"/>
    <filterColumn colId="128" hiddenButton="1"/>
    <filterColumn colId="129" hiddenButton="1"/>
    <filterColumn colId="130" hiddenButton="1"/>
    <filterColumn colId="131" hiddenButton="1"/>
    <filterColumn colId="132" hiddenButton="1"/>
    <filterColumn colId="133" hiddenButton="1"/>
    <filterColumn colId="134" hiddenButton="1"/>
    <filterColumn colId="135" hiddenButton="1"/>
    <filterColumn colId="136" hiddenButton="1"/>
    <filterColumn colId="137" hiddenButton="1"/>
    <filterColumn colId="138" hiddenButton="1"/>
    <filterColumn colId="139" hiddenButton="1"/>
    <filterColumn colId="140" hiddenButton="1"/>
    <filterColumn colId="141" hiddenButton="1"/>
    <filterColumn colId="142" hiddenButton="1"/>
    <filterColumn colId="143" hiddenButton="1"/>
    <filterColumn colId="144" hiddenButton="1"/>
    <filterColumn colId="145" hiddenButton="1"/>
    <filterColumn colId="146" hiddenButton="1"/>
    <filterColumn colId="147" hiddenButton="1"/>
    <filterColumn colId="148" hiddenButton="1"/>
    <filterColumn colId="149" hiddenButton="1"/>
    <filterColumn colId="150" hiddenButton="1"/>
    <filterColumn colId="151" hiddenButton="1"/>
    <filterColumn colId="152" hiddenButton="1"/>
    <filterColumn colId="153" hiddenButton="1"/>
    <filterColumn colId="154" hiddenButton="1"/>
    <filterColumn colId="155" hiddenButton="1"/>
    <filterColumn colId="156" hiddenButton="1"/>
    <filterColumn colId="157" hiddenButton="1"/>
    <filterColumn colId="158" hiddenButton="1"/>
    <filterColumn colId="159" hiddenButton="1"/>
    <filterColumn colId="160" hiddenButton="1"/>
    <filterColumn colId="161" hiddenButton="1"/>
    <filterColumn colId="162" hiddenButton="1"/>
    <filterColumn colId="163" hiddenButton="1"/>
    <filterColumn colId="164" hiddenButton="1"/>
    <filterColumn colId="165" hiddenButton="1"/>
    <filterColumn colId="166" hiddenButton="1"/>
    <filterColumn colId="167" hiddenButton="1"/>
    <filterColumn colId="168" hiddenButton="1"/>
    <filterColumn colId="169" hiddenButton="1"/>
    <filterColumn colId="170" hiddenButton="1"/>
    <filterColumn colId="171" hiddenButton="1"/>
    <filterColumn colId="172" hiddenButton="1"/>
    <filterColumn colId="173" hiddenButton="1"/>
    <filterColumn colId="174" hiddenButton="1"/>
    <filterColumn colId="175" hiddenButton="1"/>
    <filterColumn colId="176" hiddenButton="1"/>
    <filterColumn colId="177" hiddenButton="1"/>
    <filterColumn colId="178" hiddenButton="1"/>
    <filterColumn colId="179" hiddenButton="1"/>
    <filterColumn colId="180" hiddenButton="1"/>
    <filterColumn colId="181" hiddenButton="1"/>
    <filterColumn colId="182" hiddenButton="1"/>
    <filterColumn colId="183" hiddenButton="1"/>
    <filterColumn colId="184" hiddenButton="1"/>
    <filterColumn colId="185" hiddenButton="1"/>
    <filterColumn colId="186" hiddenButton="1"/>
    <filterColumn colId="187" hiddenButton="1"/>
    <filterColumn colId="188" hiddenButton="1"/>
    <filterColumn colId="189" hiddenButton="1"/>
    <filterColumn colId="190" hiddenButton="1"/>
    <filterColumn colId="191" hiddenButton="1"/>
    <filterColumn colId="192" hiddenButton="1"/>
    <filterColumn colId="193" hiddenButton="1"/>
    <filterColumn colId="194" hiddenButton="1"/>
    <filterColumn colId="195" hiddenButton="1"/>
    <filterColumn colId="196" hiddenButton="1"/>
    <filterColumn colId="197" hiddenButton="1"/>
    <filterColumn colId="198" hiddenButton="1"/>
    <filterColumn colId="199" hiddenButton="1"/>
    <filterColumn colId="200" hiddenButton="1"/>
    <filterColumn colId="201" hiddenButton="1"/>
    <filterColumn colId="202" hiddenButton="1"/>
    <filterColumn colId="203" hiddenButton="1"/>
    <filterColumn colId="204" hiddenButton="1"/>
    <filterColumn colId="205" hiddenButton="1"/>
    <filterColumn colId="206" hiddenButton="1"/>
    <filterColumn colId="207" hiddenButton="1"/>
    <filterColumn colId="208" hiddenButton="1"/>
    <filterColumn colId="209" hiddenButton="1"/>
    <filterColumn colId="210" hiddenButton="1"/>
    <filterColumn colId="211" hiddenButton="1"/>
    <filterColumn colId="212" hiddenButton="1"/>
    <filterColumn colId="213" hiddenButton="1"/>
    <filterColumn colId="214" hiddenButton="1"/>
    <filterColumn colId="215" hiddenButton="1"/>
    <filterColumn colId="216" hiddenButton="1"/>
    <filterColumn colId="217" hiddenButton="1"/>
    <filterColumn colId="218" hiddenButton="1"/>
    <filterColumn colId="219" hiddenButton="1"/>
    <filterColumn colId="220" hiddenButton="1"/>
    <filterColumn colId="221" hiddenButton="1"/>
    <filterColumn colId="222" hiddenButton="1"/>
    <filterColumn colId="223" hiddenButton="1"/>
    <filterColumn colId="224" hiddenButton="1"/>
    <filterColumn colId="225" hiddenButton="1"/>
    <filterColumn colId="226" hiddenButton="1"/>
    <filterColumn colId="227" hiddenButton="1"/>
    <filterColumn colId="228" hiddenButton="1"/>
    <filterColumn colId="229" hiddenButton="1"/>
    <filterColumn colId="230" hiddenButton="1"/>
    <filterColumn colId="231" hiddenButton="1"/>
    <filterColumn colId="232" hiddenButton="1"/>
    <filterColumn colId="233" hiddenButton="1"/>
    <filterColumn colId="234" hiddenButton="1"/>
    <filterColumn colId="235" hiddenButton="1"/>
    <filterColumn colId="236" hiddenButton="1"/>
    <filterColumn colId="237" hiddenButton="1"/>
    <filterColumn colId="238" hiddenButton="1"/>
    <filterColumn colId="239" hiddenButton="1"/>
    <filterColumn colId="240" hiddenButton="1"/>
    <filterColumn colId="241" hiddenButton="1"/>
    <filterColumn colId="242" hiddenButton="1"/>
    <filterColumn colId="243" hiddenButton="1"/>
    <filterColumn colId="244" hiddenButton="1"/>
    <filterColumn colId="245" hiddenButton="1"/>
    <filterColumn colId="246" hiddenButton="1"/>
    <filterColumn colId="247" hiddenButton="1"/>
    <filterColumn colId="248" hiddenButton="1"/>
    <filterColumn colId="249" hiddenButton="1"/>
    <filterColumn colId="250" hiddenButton="1"/>
    <filterColumn colId="251" hiddenButton="1"/>
    <filterColumn colId="252" hiddenButton="1"/>
    <filterColumn colId="253" hiddenButton="1"/>
    <filterColumn colId="254" hiddenButton="1"/>
    <filterColumn colId="255" hiddenButton="1"/>
    <filterColumn colId="256" hiddenButton="1"/>
    <filterColumn colId="257" hiddenButton="1"/>
    <filterColumn colId="258" hiddenButton="1"/>
    <filterColumn colId="259" hiddenButton="1"/>
    <filterColumn colId="260" hiddenButton="1"/>
    <filterColumn colId="261" hiddenButton="1"/>
    <filterColumn colId="262" hiddenButton="1"/>
    <filterColumn colId="263" hiddenButton="1"/>
    <filterColumn colId="264" hiddenButton="1"/>
    <filterColumn colId="265" hiddenButton="1"/>
    <filterColumn colId="266" hiddenButton="1"/>
    <filterColumn colId="267" hiddenButton="1"/>
    <filterColumn colId="268" hiddenButton="1"/>
    <filterColumn colId="269" hiddenButton="1"/>
    <filterColumn colId="270" hiddenButton="1"/>
    <filterColumn colId="271" hiddenButton="1"/>
    <filterColumn colId="272" hiddenButton="1"/>
    <filterColumn colId="273" hiddenButton="1"/>
    <filterColumn colId="274" hiddenButton="1"/>
    <filterColumn colId="275" hiddenButton="1"/>
    <filterColumn colId="276" hiddenButton="1"/>
    <filterColumn colId="277" hiddenButton="1"/>
    <filterColumn colId="278" hiddenButton="1"/>
    <filterColumn colId="279" hiddenButton="1"/>
    <filterColumn colId="280" hiddenButton="1"/>
    <filterColumn colId="281" hiddenButton="1"/>
    <filterColumn colId="282" hiddenButton="1"/>
    <filterColumn colId="283" hiddenButton="1"/>
    <filterColumn colId="284" hiddenButton="1"/>
    <filterColumn colId="285" hiddenButton="1"/>
    <filterColumn colId="286" hiddenButton="1"/>
    <filterColumn colId="287" hiddenButton="1"/>
    <filterColumn colId="288" hiddenButton="1"/>
    <filterColumn colId="289" hiddenButton="1"/>
    <filterColumn colId="290" hiddenButton="1"/>
    <filterColumn colId="291" hiddenButton="1"/>
    <filterColumn colId="292" hiddenButton="1"/>
    <filterColumn colId="293" hiddenButton="1"/>
    <filterColumn colId="294" hiddenButton="1"/>
    <filterColumn colId="295" hiddenButton="1"/>
    <filterColumn colId="296" hiddenButton="1"/>
    <filterColumn colId="297" hiddenButton="1"/>
    <filterColumn colId="298" hiddenButton="1"/>
    <filterColumn colId="299" hiddenButton="1"/>
    <filterColumn colId="300" hiddenButton="1"/>
    <filterColumn colId="301" hiddenButton="1"/>
    <filterColumn colId="302" hiddenButton="1"/>
    <filterColumn colId="303" hiddenButton="1"/>
    <filterColumn colId="304" hiddenButton="1"/>
    <filterColumn colId="305" hiddenButton="1"/>
    <filterColumn colId="306" hiddenButton="1"/>
    <filterColumn colId="307" hiddenButton="1"/>
    <filterColumn colId="308" hiddenButton="1"/>
    <filterColumn colId="309" hiddenButton="1"/>
    <filterColumn colId="310" hiddenButton="1"/>
    <filterColumn colId="311" hiddenButton="1"/>
    <filterColumn colId="312" hiddenButton="1"/>
    <filterColumn colId="313" hiddenButton="1"/>
    <filterColumn colId="314" hiddenButton="1"/>
    <filterColumn colId="315" hiddenButton="1"/>
    <filterColumn colId="316" hiddenButton="1"/>
    <filterColumn colId="317" hiddenButton="1"/>
    <filterColumn colId="318" hiddenButton="1"/>
    <filterColumn colId="319" hiddenButton="1"/>
    <filterColumn colId="320" hiddenButton="1"/>
    <filterColumn colId="321" hiddenButton="1"/>
    <filterColumn colId="322" hiddenButton="1"/>
    <filterColumn colId="323" hiddenButton="1"/>
    <filterColumn colId="324" hiddenButton="1"/>
    <filterColumn colId="325" hiddenButton="1"/>
    <filterColumn colId="326" hiddenButton="1"/>
    <filterColumn colId="327" hiddenButton="1"/>
    <filterColumn colId="328" hiddenButton="1"/>
    <filterColumn colId="329" hiddenButton="1"/>
    <filterColumn colId="330" hiddenButton="1"/>
    <filterColumn colId="331" hiddenButton="1"/>
    <filterColumn colId="332" hiddenButton="1"/>
    <filterColumn colId="333" hiddenButton="1"/>
    <filterColumn colId="334" hiddenButton="1"/>
    <filterColumn colId="335" hiddenButton="1"/>
    <filterColumn colId="336" hiddenButton="1"/>
    <filterColumn colId="337" hiddenButton="1"/>
    <filterColumn colId="338" hiddenButton="1"/>
    <filterColumn colId="339" hiddenButton="1"/>
    <filterColumn colId="340" hiddenButton="1"/>
    <filterColumn colId="341" hiddenButton="1"/>
    <filterColumn colId="342" hiddenButton="1"/>
    <filterColumn colId="343" hiddenButton="1"/>
    <filterColumn colId="344" hiddenButton="1"/>
    <filterColumn colId="345" hiddenButton="1"/>
    <filterColumn colId="346" hiddenButton="1"/>
    <filterColumn colId="347" hiddenButton="1"/>
    <filterColumn colId="348" hiddenButton="1"/>
    <filterColumn colId="349" hiddenButton="1"/>
    <filterColumn colId="350" hiddenButton="1"/>
    <filterColumn colId="351" hiddenButton="1"/>
    <filterColumn colId="352" hiddenButton="1"/>
    <filterColumn colId="353" hiddenButton="1"/>
    <filterColumn colId="354" hiddenButton="1"/>
    <filterColumn colId="355" hiddenButton="1"/>
    <filterColumn colId="356" hiddenButton="1"/>
    <filterColumn colId="357" hiddenButton="1"/>
    <filterColumn colId="358" hiddenButton="1"/>
    <filterColumn colId="359" hiddenButton="1"/>
    <filterColumn colId="360" hiddenButton="1"/>
    <filterColumn colId="361" hiddenButton="1"/>
    <filterColumn colId="362" hiddenButton="1"/>
    <filterColumn colId="363" hiddenButton="1"/>
    <filterColumn colId="364" hiddenButton="1"/>
    <filterColumn colId="365" hiddenButton="1"/>
    <filterColumn colId="366" hiddenButton="1"/>
    <filterColumn colId="367" hiddenButton="1"/>
  </autoFilter>
  <tableColumns count="368">
    <tableColumn id="1" xr3:uid="{00000000-0010-0000-0200-000001000000}" name="Student" dataDxfId="404"/>
    <tableColumn id="2" xr3:uid="{00000000-0010-0000-0200-000002000000}" name="A" dataDxfId="403">
      <calculatedColumnFormula>COUNTIF($E4:$NE4,"A")</calculatedColumnFormula>
    </tableColumn>
    <tableColumn id="3" xr3:uid="{00000000-0010-0000-0200-000003000000}" name="L" dataDxfId="402">
      <calculatedColumnFormula>COUNTIF($E4:$NE4,"L")</calculatedColumnFormula>
    </tableColumn>
    <tableColumn id="4" xr3:uid="{00000000-0010-0000-0200-000004000000}" name="1" dataDxfId="401"/>
    <tableColumn id="5" xr3:uid="{00000000-0010-0000-0200-000005000000}" name="2" dataDxfId="400"/>
    <tableColumn id="6" xr3:uid="{00000000-0010-0000-0200-000006000000}" name="3" dataDxfId="399"/>
    <tableColumn id="7" xr3:uid="{00000000-0010-0000-0200-000007000000}" name="4" dataDxfId="398"/>
    <tableColumn id="8" xr3:uid="{00000000-0010-0000-0200-000008000000}" name="5" dataDxfId="397"/>
    <tableColumn id="9" xr3:uid="{00000000-0010-0000-0200-000009000000}" name="6" dataDxfId="396"/>
    <tableColumn id="10" xr3:uid="{00000000-0010-0000-0200-00000A000000}" name="7" dataDxfId="395"/>
    <tableColumn id="11" xr3:uid="{00000000-0010-0000-0200-00000B000000}" name="8" dataDxfId="394"/>
    <tableColumn id="12" xr3:uid="{00000000-0010-0000-0200-00000C000000}" name="9" dataDxfId="393"/>
    <tableColumn id="13" xr3:uid="{00000000-0010-0000-0200-00000D000000}" name="10" dataDxfId="392"/>
    <tableColumn id="14" xr3:uid="{00000000-0010-0000-0200-00000E000000}" name="11" dataDxfId="391"/>
    <tableColumn id="15" xr3:uid="{00000000-0010-0000-0200-00000F000000}" name="12" dataDxfId="390"/>
    <tableColumn id="16" xr3:uid="{00000000-0010-0000-0200-000010000000}" name="13" dataDxfId="389"/>
    <tableColumn id="17" xr3:uid="{00000000-0010-0000-0200-000011000000}" name="14" dataDxfId="388"/>
    <tableColumn id="18" xr3:uid="{00000000-0010-0000-0200-000012000000}" name="15" dataDxfId="387"/>
    <tableColumn id="19" xr3:uid="{00000000-0010-0000-0200-000013000000}" name="16" dataDxfId="386"/>
    <tableColumn id="20" xr3:uid="{00000000-0010-0000-0200-000014000000}" name="17" dataDxfId="385"/>
    <tableColumn id="21" xr3:uid="{00000000-0010-0000-0200-000015000000}" name="18" dataDxfId="384"/>
    <tableColumn id="22" xr3:uid="{00000000-0010-0000-0200-000016000000}" name="19" dataDxfId="383"/>
    <tableColumn id="23" xr3:uid="{00000000-0010-0000-0200-000017000000}" name="20" dataDxfId="382"/>
    <tableColumn id="24" xr3:uid="{00000000-0010-0000-0200-000018000000}" name="21" dataDxfId="381"/>
    <tableColumn id="25" xr3:uid="{00000000-0010-0000-0200-000019000000}" name="22" dataDxfId="380"/>
    <tableColumn id="26" xr3:uid="{00000000-0010-0000-0200-00001A000000}" name="23" dataDxfId="379"/>
    <tableColumn id="27" xr3:uid="{00000000-0010-0000-0200-00001B000000}" name="24" dataDxfId="378"/>
    <tableColumn id="28" xr3:uid="{00000000-0010-0000-0200-00001C000000}" name="25" dataDxfId="377"/>
    <tableColumn id="29" xr3:uid="{00000000-0010-0000-0200-00001D000000}" name="26" dataDxfId="376"/>
    <tableColumn id="30" xr3:uid="{00000000-0010-0000-0200-00001E000000}" name="27" dataDxfId="375"/>
    <tableColumn id="31" xr3:uid="{00000000-0010-0000-0200-00001F000000}" name="28" dataDxfId="374"/>
    <tableColumn id="32" xr3:uid="{00000000-0010-0000-0200-000020000000}" name="29" dataDxfId="373"/>
    <tableColumn id="33" xr3:uid="{00000000-0010-0000-0200-000021000000}" name="30" dataDxfId="372"/>
    <tableColumn id="34" xr3:uid="{00000000-0010-0000-0200-000022000000}" name="31" dataDxfId="371"/>
    <tableColumn id="35" xr3:uid="{00000000-0010-0000-0200-000023000000}" name="32" dataDxfId="370"/>
    <tableColumn id="36" xr3:uid="{00000000-0010-0000-0200-000024000000}" name="33" dataDxfId="369"/>
    <tableColumn id="37" xr3:uid="{00000000-0010-0000-0200-000025000000}" name="34" dataDxfId="368"/>
    <tableColumn id="38" xr3:uid="{00000000-0010-0000-0200-000026000000}" name="35" dataDxfId="367"/>
    <tableColumn id="39" xr3:uid="{00000000-0010-0000-0200-000027000000}" name="36" dataDxfId="366"/>
    <tableColumn id="40" xr3:uid="{00000000-0010-0000-0200-000028000000}" name="37" dataDxfId="365"/>
    <tableColumn id="41" xr3:uid="{00000000-0010-0000-0200-000029000000}" name="38" dataDxfId="364"/>
    <tableColumn id="42" xr3:uid="{00000000-0010-0000-0200-00002A000000}" name="39" dataDxfId="363"/>
    <tableColumn id="43" xr3:uid="{00000000-0010-0000-0200-00002B000000}" name="40" dataDxfId="362"/>
    <tableColumn id="44" xr3:uid="{00000000-0010-0000-0200-00002C000000}" name="41" dataDxfId="361"/>
    <tableColumn id="45" xr3:uid="{00000000-0010-0000-0200-00002D000000}" name="42" dataDxfId="360"/>
    <tableColumn id="46" xr3:uid="{00000000-0010-0000-0200-00002E000000}" name="43" dataDxfId="359"/>
    <tableColumn id="47" xr3:uid="{00000000-0010-0000-0200-00002F000000}" name="44" dataDxfId="358"/>
    <tableColumn id="48" xr3:uid="{00000000-0010-0000-0200-000030000000}" name="45" dataDxfId="357"/>
    <tableColumn id="49" xr3:uid="{00000000-0010-0000-0200-000031000000}" name="46" dataDxfId="356"/>
    <tableColumn id="50" xr3:uid="{00000000-0010-0000-0200-000032000000}" name="47" dataDxfId="355"/>
    <tableColumn id="51" xr3:uid="{00000000-0010-0000-0200-000033000000}" name="48" dataDxfId="354"/>
    <tableColumn id="52" xr3:uid="{00000000-0010-0000-0200-000034000000}" name="49" dataDxfId="353"/>
    <tableColumn id="53" xr3:uid="{00000000-0010-0000-0200-000035000000}" name="50" dataDxfId="352"/>
    <tableColumn id="54" xr3:uid="{00000000-0010-0000-0200-000036000000}" name="51" dataDxfId="351"/>
    <tableColumn id="55" xr3:uid="{00000000-0010-0000-0200-000037000000}" name="52" dataDxfId="350"/>
    <tableColumn id="56" xr3:uid="{00000000-0010-0000-0200-000038000000}" name="53" dataDxfId="349"/>
    <tableColumn id="57" xr3:uid="{00000000-0010-0000-0200-000039000000}" name="54" dataDxfId="348"/>
    <tableColumn id="58" xr3:uid="{00000000-0010-0000-0200-00003A000000}" name="55" dataDxfId="347"/>
    <tableColumn id="59" xr3:uid="{00000000-0010-0000-0200-00003B000000}" name="56" dataDxfId="346"/>
    <tableColumn id="60" xr3:uid="{00000000-0010-0000-0200-00003C000000}" name="57" dataDxfId="345"/>
    <tableColumn id="61" xr3:uid="{00000000-0010-0000-0200-00003D000000}" name="58" dataDxfId="344"/>
    <tableColumn id="62" xr3:uid="{00000000-0010-0000-0200-00003E000000}" name="59" dataDxfId="343"/>
    <tableColumn id="63" xr3:uid="{00000000-0010-0000-0200-00003F000000}" name="60" dataDxfId="342"/>
    <tableColumn id="64" xr3:uid="{00000000-0010-0000-0200-000040000000}" name="61" dataDxfId="341"/>
    <tableColumn id="65" xr3:uid="{00000000-0010-0000-0200-000041000000}" name="62" dataDxfId="340"/>
    <tableColumn id="66" xr3:uid="{00000000-0010-0000-0200-000042000000}" name="63" dataDxfId="339"/>
    <tableColumn id="67" xr3:uid="{00000000-0010-0000-0200-000043000000}" name="64" dataDxfId="338"/>
    <tableColumn id="68" xr3:uid="{00000000-0010-0000-0200-000044000000}" name="65" dataDxfId="337"/>
    <tableColumn id="69" xr3:uid="{00000000-0010-0000-0200-000045000000}" name="66" dataDxfId="336"/>
    <tableColumn id="70" xr3:uid="{00000000-0010-0000-0200-000046000000}" name="67" dataDxfId="335"/>
    <tableColumn id="71" xr3:uid="{00000000-0010-0000-0200-000047000000}" name="68" dataDxfId="334"/>
    <tableColumn id="72" xr3:uid="{00000000-0010-0000-0200-000048000000}" name="69" dataDxfId="333"/>
    <tableColumn id="73" xr3:uid="{00000000-0010-0000-0200-000049000000}" name="70" dataDxfId="332"/>
    <tableColumn id="74" xr3:uid="{00000000-0010-0000-0200-00004A000000}" name="71" dataDxfId="331"/>
    <tableColumn id="75" xr3:uid="{00000000-0010-0000-0200-00004B000000}" name="72" dataDxfId="330"/>
    <tableColumn id="76" xr3:uid="{00000000-0010-0000-0200-00004C000000}" name="73" dataDxfId="329"/>
    <tableColumn id="77" xr3:uid="{00000000-0010-0000-0200-00004D000000}" name="74" dataDxfId="328"/>
    <tableColumn id="78" xr3:uid="{00000000-0010-0000-0200-00004E000000}" name="75" dataDxfId="327"/>
    <tableColumn id="79" xr3:uid="{00000000-0010-0000-0200-00004F000000}" name="76" dataDxfId="326"/>
    <tableColumn id="80" xr3:uid="{00000000-0010-0000-0200-000050000000}" name="77" dataDxfId="325"/>
    <tableColumn id="81" xr3:uid="{00000000-0010-0000-0200-000051000000}" name="78" dataDxfId="324"/>
    <tableColumn id="82" xr3:uid="{00000000-0010-0000-0200-000052000000}" name="79" dataDxfId="323"/>
    <tableColumn id="83" xr3:uid="{00000000-0010-0000-0200-000053000000}" name="80" dataDxfId="322"/>
    <tableColumn id="84" xr3:uid="{00000000-0010-0000-0200-000054000000}" name="81" dataDxfId="321"/>
    <tableColumn id="85" xr3:uid="{00000000-0010-0000-0200-000055000000}" name="82" dataDxfId="320"/>
    <tableColumn id="86" xr3:uid="{00000000-0010-0000-0200-000056000000}" name="83" dataDxfId="319"/>
    <tableColumn id="87" xr3:uid="{00000000-0010-0000-0200-000057000000}" name="84" dataDxfId="318"/>
    <tableColumn id="88" xr3:uid="{00000000-0010-0000-0200-000058000000}" name="85" dataDxfId="317"/>
    <tableColumn id="89" xr3:uid="{00000000-0010-0000-0200-000059000000}" name="86" dataDxfId="316"/>
    <tableColumn id="90" xr3:uid="{00000000-0010-0000-0200-00005A000000}" name="87" dataDxfId="315"/>
    <tableColumn id="91" xr3:uid="{00000000-0010-0000-0200-00005B000000}" name="88" dataDxfId="314"/>
    <tableColumn id="92" xr3:uid="{00000000-0010-0000-0200-00005C000000}" name="89" dataDxfId="313"/>
    <tableColumn id="93" xr3:uid="{00000000-0010-0000-0200-00005D000000}" name="90" dataDxfId="312"/>
    <tableColumn id="94" xr3:uid="{00000000-0010-0000-0200-00005E000000}" name="91" dataDxfId="311"/>
    <tableColumn id="95" xr3:uid="{00000000-0010-0000-0200-00005F000000}" name="92" dataDxfId="310"/>
    <tableColumn id="96" xr3:uid="{00000000-0010-0000-0200-000060000000}" name="93" dataDxfId="309"/>
    <tableColumn id="97" xr3:uid="{00000000-0010-0000-0200-000061000000}" name="94" dataDxfId="308"/>
    <tableColumn id="98" xr3:uid="{00000000-0010-0000-0200-000062000000}" name="95" dataDxfId="307"/>
    <tableColumn id="99" xr3:uid="{00000000-0010-0000-0200-000063000000}" name="96" dataDxfId="306"/>
    <tableColumn id="100" xr3:uid="{00000000-0010-0000-0200-000064000000}" name="97" dataDxfId="305"/>
    <tableColumn id="101" xr3:uid="{00000000-0010-0000-0200-000065000000}" name="98" dataDxfId="304"/>
    <tableColumn id="102" xr3:uid="{00000000-0010-0000-0200-000066000000}" name="99" dataDxfId="303"/>
    <tableColumn id="103" xr3:uid="{00000000-0010-0000-0200-000067000000}" name="100" dataDxfId="302"/>
    <tableColumn id="104" xr3:uid="{00000000-0010-0000-0200-000068000000}" name="101" dataDxfId="301"/>
    <tableColumn id="105" xr3:uid="{00000000-0010-0000-0200-000069000000}" name="102" dataDxfId="300"/>
    <tableColumn id="106" xr3:uid="{00000000-0010-0000-0200-00006A000000}" name="103" dataDxfId="299"/>
    <tableColumn id="107" xr3:uid="{00000000-0010-0000-0200-00006B000000}" name="104" dataDxfId="298"/>
    <tableColumn id="108" xr3:uid="{00000000-0010-0000-0200-00006C000000}" name="105" dataDxfId="297"/>
    <tableColumn id="109" xr3:uid="{00000000-0010-0000-0200-00006D000000}" name="106" dataDxfId="296"/>
    <tableColumn id="110" xr3:uid="{00000000-0010-0000-0200-00006E000000}" name="107" dataDxfId="295"/>
    <tableColumn id="111" xr3:uid="{00000000-0010-0000-0200-00006F000000}" name="108" dataDxfId="294"/>
    <tableColumn id="112" xr3:uid="{00000000-0010-0000-0200-000070000000}" name="109" dataDxfId="293"/>
    <tableColumn id="113" xr3:uid="{00000000-0010-0000-0200-000071000000}" name="110" dataDxfId="292"/>
    <tableColumn id="114" xr3:uid="{00000000-0010-0000-0200-000072000000}" name="111" dataDxfId="291"/>
    <tableColumn id="115" xr3:uid="{00000000-0010-0000-0200-000073000000}" name="112" dataDxfId="290"/>
    <tableColumn id="116" xr3:uid="{00000000-0010-0000-0200-000074000000}" name="113" dataDxfId="289"/>
    <tableColumn id="117" xr3:uid="{00000000-0010-0000-0200-000075000000}" name="114" dataDxfId="288"/>
    <tableColumn id="118" xr3:uid="{00000000-0010-0000-0200-000076000000}" name="115" dataDxfId="287"/>
    <tableColumn id="119" xr3:uid="{00000000-0010-0000-0200-000077000000}" name="116" dataDxfId="286"/>
    <tableColumn id="120" xr3:uid="{00000000-0010-0000-0200-000078000000}" name="117" dataDxfId="285"/>
    <tableColumn id="121" xr3:uid="{00000000-0010-0000-0200-000079000000}" name="118" dataDxfId="284"/>
    <tableColumn id="122" xr3:uid="{00000000-0010-0000-0200-00007A000000}" name="119" dataDxfId="283"/>
    <tableColumn id="123" xr3:uid="{00000000-0010-0000-0200-00007B000000}" name="120" dataDxfId="282"/>
    <tableColumn id="124" xr3:uid="{00000000-0010-0000-0200-00007C000000}" name="121" dataDxfId="281"/>
    <tableColumn id="125" xr3:uid="{00000000-0010-0000-0200-00007D000000}" name="122" dataDxfId="280"/>
    <tableColumn id="126" xr3:uid="{00000000-0010-0000-0200-00007E000000}" name="123" dataDxfId="279"/>
    <tableColumn id="127" xr3:uid="{00000000-0010-0000-0200-00007F000000}" name="124" dataDxfId="278"/>
    <tableColumn id="128" xr3:uid="{00000000-0010-0000-0200-000080000000}" name="125" dataDxfId="277"/>
    <tableColumn id="129" xr3:uid="{00000000-0010-0000-0200-000081000000}" name="126" dataDxfId="276"/>
    <tableColumn id="130" xr3:uid="{00000000-0010-0000-0200-000082000000}" name="127" dataDxfId="275"/>
    <tableColumn id="131" xr3:uid="{00000000-0010-0000-0200-000083000000}" name="128" dataDxfId="274"/>
    <tableColumn id="132" xr3:uid="{00000000-0010-0000-0200-000084000000}" name="129" dataDxfId="273"/>
    <tableColumn id="133" xr3:uid="{00000000-0010-0000-0200-000085000000}" name="130" dataDxfId="272"/>
    <tableColumn id="134" xr3:uid="{00000000-0010-0000-0200-000086000000}" name="131" dataDxfId="271"/>
    <tableColumn id="135" xr3:uid="{00000000-0010-0000-0200-000087000000}" name="132" dataDxfId="270"/>
    <tableColumn id="136" xr3:uid="{00000000-0010-0000-0200-000088000000}" name="133" dataDxfId="269"/>
    <tableColumn id="137" xr3:uid="{00000000-0010-0000-0200-000089000000}" name="134" dataDxfId="268"/>
    <tableColumn id="138" xr3:uid="{00000000-0010-0000-0200-00008A000000}" name="135" dataDxfId="267"/>
    <tableColumn id="139" xr3:uid="{00000000-0010-0000-0200-00008B000000}" name="136" dataDxfId="266"/>
    <tableColumn id="140" xr3:uid="{00000000-0010-0000-0200-00008C000000}" name="137" dataDxfId="265"/>
    <tableColumn id="141" xr3:uid="{00000000-0010-0000-0200-00008D000000}" name="138" dataDxfId="264"/>
    <tableColumn id="142" xr3:uid="{00000000-0010-0000-0200-00008E000000}" name="139" dataDxfId="263"/>
    <tableColumn id="143" xr3:uid="{00000000-0010-0000-0200-00008F000000}" name="140" dataDxfId="262"/>
    <tableColumn id="144" xr3:uid="{00000000-0010-0000-0200-000090000000}" name="141" dataDxfId="261"/>
    <tableColumn id="145" xr3:uid="{00000000-0010-0000-0200-000091000000}" name="142" dataDxfId="260"/>
    <tableColumn id="146" xr3:uid="{00000000-0010-0000-0200-000092000000}" name="143" dataDxfId="259"/>
    <tableColumn id="147" xr3:uid="{00000000-0010-0000-0200-000093000000}" name="144" dataDxfId="258"/>
    <tableColumn id="148" xr3:uid="{00000000-0010-0000-0200-000094000000}" name="145" dataDxfId="257"/>
    <tableColumn id="149" xr3:uid="{00000000-0010-0000-0200-000095000000}" name="146" dataDxfId="256"/>
    <tableColumn id="150" xr3:uid="{00000000-0010-0000-0200-000096000000}" name="147" dataDxfId="255"/>
    <tableColumn id="151" xr3:uid="{00000000-0010-0000-0200-000097000000}" name="148" dataDxfId="254"/>
    <tableColumn id="152" xr3:uid="{00000000-0010-0000-0200-000098000000}" name="149" dataDxfId="253"/>
    <tableColumn id="153" xr3:uid="{00000000-0010-0000-0200-000099000000}" name="150" dataDxfId="252"/>
    <tableColumn id="154" xr3:uid="{00000000-0010-0000-0200-00009A000000}" name="151" dataDxfId="251"/>
    <tableColumn id="155" xr3:uid="{00000000-0010-0000-0200-00009B000000}" name="152" dataDxfId="250"/>
    <tableColumn id="156" xr3:uid="{00000000-0010-0000-0200-00009C000000}" name="153" dataDxfId="249"/>
    <tableColumn id="157" xr3:uid="{00000000-0010-0000-0200-00009D000000}" name="154" dataDxfId="248"/>
    <tableColumn id="158" xr3:uid="{00000000-0010-0000-0200-00009E000000}" name="155" dataDxfId="247"/>
    <tableColumn id="159" xr3:uid="{00000000-0010-0000-0200-00009F000000}" name="156" dataDxfId="246"/>
    <tableColumn id="160" xr3:uid="{00000000-0010-0000-0200-0000A0000000}" name="157" dataDxfId="245"/>
    <tableColumn id="161" xr3:uid="{00000000-0010-0000-0200-0000A1000000}" name="158" dataDxfId="244"/>
    <tableColumn id="162" xr3:uid="{00000000-0010-0000-0200-0000A2000000}" name="159" dataDxfId="243"/>
    <tableColumn id="163" xr3:uid="{00000000-0010-0000-0200-0000A3000000}" name="160" dataDxfId="242"/>
    <tableColumn id="164" xr3:uid="{00000000-0010-0000-0200-0000A4000000}" name="161" dataDxfId="241"/>
    <tableColumn id="165" xr3:uid="{00000000-0010-0000-0200-0000A5000000}" name="162" dataDxfId="240"/>
    <tableColumn id="166" xr3:uid="{00000000-0010-0000-0200-0000A6000000}" name="163" dataDxfId="239"/>
    <tableColumn id="167" xr3:uid="{00000000-0010-0000-0200-0000A7000000}" name="164" dataDxfId="238"/>
    <tableColumn id="168" xr3:uid="{00000000-0010-0000-0200-0000A8000000}" name="165" dataDxfId="237"/>
    <tableColumn id="169" xr3:uid="{00000000-0010-0000-0200-0000A9000000}" name="166" dataDxfId="236"/>
    <tableColumn id="170" xr3:uid="{00000000-0010-0000-0200-0000AA000000}" name="167" dataDxfId="235"/>
    <tableColumn id="171" xr3:uid="{00000000-0010-0000-0200-0000AB000000}" name="168" dataDxfId="234"/>
    <tableColumn id="172" xr3:uid="{00000000-0010-0000-0200-0000AC000000}" name="169" dataDxfId="233"/>
    <tableColumn id="173" xr3:uid="{00000000-0010-0000-0200-0000AD000000}" name="170" dataDxfId="232"/>
    <tableColumn id="174" xr3:uid="{00000000-0010-0000-0200-0000AE000000}" name="171" dataDxfId="231"/>
    <tableColumn id="175" xr3:uid="{00000000-0010-0000-0200-0000AF000000}" name="172" dataDxfId="230"/>
    <tableColumn id="176" xr3:uid="{00000000-0010-0000-0200-0000B0000000}" name="173" dataDxfId="229"/>
    <tableColumn id="177" xr3:uid="{00000000-0010-0000-0200-0000B1000000}" name="174" dataDxfId="228"/>
    <tableColumn id="178" xr3:uid="{00000000-0010-0000-0200-0000B2000000}" name="175" dataDxfId="227"/>
    <tableColumn id="179" xr3:uid="{00000000-0010-0000-0200-0000B3000000}" name="176" dataDxfId="226"/>
    <tableColumn id="180" xr3:uid="{00000000-0010-0000-0200-0000B4000000}" name="177" dataDxfId="225"/>
    <tableColumn id="181" xr3:uid="{00000000-0010-0000-0200-0000B5000000}" name="178" dataDxfId="224"/>
    <tableColumn id="182" xr3:uid="{00000000-0010-0000-0200-0000B6000000}" name="179" dataDxfId="223"/>
    <tableColumn id="183" xr3:uid="{00000000-0010-0000-0200-0000B7000000}" name="180" dataDxfId="222"/>
    <tableColumn id="184" xr3:uid="{00000000-0010-0000-0200-0000B8000000}" name="181" dataDxfId="221"/>
    <tableColumn id="185" xr3:uid="{00000000-0010-0000-0200-0000B9000000}" name="182" dataDxfId="220"/>
    <tableColumn id="186" xr3:uid="{00000000-0010-0000-0200-0000BA000000}" name="183" dataDxfId="219"/>
    <tableColumn id="187" xr3:uid="{00000000-0010-0000-0200-0000BB000000}" name="184" dataDxfId="218"/>
    <tableColumn id="188" xr3:uid="{00000000-0010-0000-0200-0000BC000000}" name="185" dataDxfId="217"/>
    <tableColumn id="189" xr3:uid="{00000000-0010-0000-0200-0000BD000000}" name="186" dataDxfId="216"/>
    <tableColumn id="190" xr3:uid="{00000000-0010-0000-0200-0000BE000000}" name="187" dataDxfId="215"/>
    <tableColumn id="191" xr3:uid="{00000000-0010-0000-0200-0000BF000000}" name="188" dataDxfId="214"/>
    <tableColumn id="192" xr3:uid="{00000000-0010-0000-0200-0000C0000000}" name="189" dataDxfId="213"/>
    <tableColumn id="193" xr3:uid="{00000000-0010-0000-0200-0000C1000000}" name="190" dataDxfId="212"/>
    <tableColumn id="194" xr3:uid="{00000000-0010-0000-0200-0000C2000000}" name="191" dataDxfId="211"/>
    <tableColumn id="195" xr3:uid="{00000000-0010-0000-0200-0000C3000000}" name="192" dataDxfId="210"/>
    <tableColumn id="196" xr3:uid="{00000000-0010-0000-0200-0000C4000000}" name="193" dataDxfId="209"/>
    <tableColumn id="197" xr3:uid="{00000000-0010-0000-0200-0000C5000000}" name="194" dataDxfId="208"/>
    <tableColumn id="198" xr3:uid="{00000000-0010-0000-0200-0000C6000000}" name="195" dataDxfId="207"/>
    <tableColumn id="199" xr3:uid="{00000000-0010-0000-0200-0000C7000000}" name="196" dataDxfId="206"/>
    <tableColumn id="200" xr3:uid="{00000000-0010-0000-0200-0000C8000000}" name="197" dataDxfId="205"/>
    <tableColumn id="201" xr3:uid="{00000000-0010-0000-0200-0000C9000000}" name="198" dataDxfId="204"/>
    <tableColumn id="202" xr3:uid="{00000000-0010-0000-0200-0000CA000000}" name="199" dataDxfId="203"/>
    <tableColumn id="203" xr3:uid="{00000000-0010-0000-0200-0000CB000000}" name="200" dataDxfId="202"/>
    <tableColumn id="204" xr3:uid="{00000000-0010-0000-0200-0000CC000000}" name="201" dataDxfId="201"/>
    <tableColumn id="205" xr3:uid="{00000000-0010-0000-0200-0000CD000000}" name="202" dataDxfId="200"/>
    <tableColumn id="206" xr3:uid="{00000000-0010-0000-0200-0000CE000000}" name="203" dataDxfId="199"/>
    <tableColumn id="207" xr3:uid="{00000000-0010-0000-0200-0000CF000000}" name="204" dataDxfId="198"/>
    <tableColumn id="208" xr3:uid="{00000000-0010-0000-0200-0000D0000000}" name="205" dataDxfId="197"/>
    <tableColumn id="209" xr3:uid="{00000000-0010-0000-0200-0000D1000000}" name="206" dataDxfId="196"/>
    <tableColumn id="210" xr3:uid="{00000000-0010-0000-0200-0000D2000000}" name="207" dataDxfId="195"/>
    <tableColumn id="211" xr3:uid="{00000000-0010-0000-0200-0000D3000000}" name="208" dataDxfId="194"/>
    <tableColumn id="212" xr3:uid="{00000000-0010-0000-0200-0000D4000000}" name="209" dataDxfId="193"/>
    <tableColumn id="213" xr3:uid="{00000000-0010-0000-0200-0000D5000000}" name="210" dataDxfId="192"/>
    <tableColumn id="214" xr3:uid="{00000000-0010-0000-0200-0000D6000000}" name="211" dataDxfId="191"/>
    <tableColumn id="215" xr3:uid="{00000000-0010-0000-0200-0000D7000000}" name="212" dataDxfId="190"/>
    <tableColumn id="216" xr3:uid="{00000000-0010-0000-0200-0000D8000000}" name="213" dataDxfId="189"/>
    <tableColumn id="217" xr3:uid="{00000000-0010-0000-0200-0000D9000000}" name="214" dataDxfId="188"/>
    <tableColumn id="218" xr3:uid="{00000000-0010-0000-0200-0000DA000000}" name="215" dataDxfId="187"/>
    <tableColumn id="219" xr3:uid="{00000000-0010-0000-0200-0000DB000000}" name="216" dataDxfId="186"/>
    <tableColumn id="220" xr3:uid="{00000000-0010-0000-0200-0000DC000000}" name="217" dataDxfId="185"/>
    <tableColumn id="221" xr3:uid="{00000000-0010-0000-0200-0000DD000000}" name="218" dataDxfId="184"/>
    <tableColumn id="222" xr3:uid="{00000000-0010-0000-0200-0000DE000000}" name="219" dataDxfId="183"/>
    <tableColumn id="223" xr3:uid="{00000000-0010-0000-0200-0000DF000000}" name="220" dataDxfId="182"/>
    <tableColumn id="224" xr3:uid="{00000000-0010-0000-0200-0000E0000000}" name="221" dataDxfId="181"/>
    <tableColumn id="225" xr3:uid="{00000000-0010-0000-0200-0000E1000000}" name="222" dataDxfId="180"/>
    <tableColumn id="226" xr3:uid="{00000000-0010-0000-0200-0000E2000000}" name="223" dataDxfId="179"/>
    <tableColumn id="227" xr3:uid="{00000000-0010-0000-0200-0000E3000000}" name="224" dataDxfId="178"/>
    <tableColumn id="228" xr3:uid="{00000000-0010-0000-0200-0000E4000000}" name="225" dataDxfId="177"/>
    <tableColumn id="229" xr3:uid="{00000000-0010-0000-0200-0000E5000000}" name="226" dataDxfId="176"/>
    <tableColumn id="230" xr3:uid="{00000000-0010-0000-0200-0000E6000000}" name="227" dataDxfId="175"/>
    <tableColumn id="231" xr3:uid="{00000000-0010-0000-0200-0000E7000000}" name="228" dataDxfId="174"/>
    <tableColumn id="232" xr3:uid="{00000000-0010-0000-0200-0000E8000000}" name="229" dataDxfId="173"/>
    <tableColumn id="233" xr3:uid="{00000000-0010-0000-0200-0000E9000000}" name="230" dataDxfId="172"/>
    <tableColumn id="234" xr3:uid="{00000000-0010-0000-0200-0000EA000000}" name="231" dataDxfId="171"/>
    <tableColumn id="235" xr3:uid="{00000000-0010-0000-0200-0000EB000000}" name="232" dataDxfId="170"/>
    <tableColumn id="236" xr3:uid="{00000000-0010-0000-0200-0000EC000000}" name="233" dataDxfId="169"/>
    <tableColumn id="237" xr3:uid="{00000000-0010-0000-0200-0000ED000000}" name="234" dataDxfId="168"/>
    <tableColumn id="238" xr3:uid="{00000000-0010-0000-0200-0000EE000000}" name="235" dataDxfId="167"/>
    <tableColumn id="239" xr3:uid="{00000000-0010-0000-0200-0000EF000000}" name="236" dataDxfId="166"/>
    <tableColumn id="240" xr3:uid="{00000000-0010-0000-0200-0000F0000000}" name="237" dataDxfId="165"/>
    <tableColumn id="241" xr3:uid="{00000000-0010-0000-0200-0000F1000000}" name="238" dataDxfId="164"/>
    <tableColumn id="242" xr3:uid="{00000000-0010-0000-0200-0000F2000000}" name="239" dataDxfId="163"/>
    <tableColumn id="243" xr3:uid="{00000000-0010-0000-0200-0000F3000000}" name="240" dataDxfId="162"/>
    <tableColumn id="244" xr3:uid="{00000000-0010-0000-0200-0000F4000000}" name="241" dataDxfId="161"/>
    <tableColumn id="245" xr3:uid="{00000000-0010-0000-0200-0000F5000000}" name="242" dataDxfId="160"/>
    <tableColumn id="246" xr3:uid="{00000000-0010-0000-0200-0000F6000000}" name="243" dataDxfId="159"/>
    <tableColumn id="247" xr3:uid="{00000000-0010-0000-0200-0000F7000000}" name="244" dataDxfId="158"/>
    <tableColumn id="248" xr3:uid="{00000000-0010-0000-0200-0000F8000000}" name="245" dataDxfId="157"/>
    <tableColumn id="249" xr3:uid="{00000000-0010-0000-0200-0000F9000000}" name="246" dataDxfId="156"/>
    <tableColumn id="250" xr3:uid="{00000000-0010-0000-0200-0000FA000000}" name="247" dataDxfId="155"/>
    <tableColumn id="251" xr3:uid="{00000000-0010-0000-0200-0000FB000000}" name="248" dataDxfId="154"/>
    <tableColumn id="252" xr3:uid="{00000000-0010-0000-0200-0000FC000000}" name="249" dataDxfId="153"/>
    <tableColumn id="253" xr3:uid="{00000000-0010-0000-0200-0000FD000000}" name="250" dataDxfId="152"/>
    <tableColumn id="254" xr3:uid="{00000000-0010-0000-0200-0000FE000000}" name="251" dataDxfId="151"/>
    <tableColumn id="255" xr3:uid="{00000000-0010-0000-0200-0000FF000000}" name="252" dataDxfId="150"/>
    <tableColumn id="256" xr3:uid="{00000000-0010-0000-0200-000000010000}" name="253" dataDxfId="149"/>
    <tableColumn id="257" xr3:uid="{00000000-0010-0000-0200-000001010000}" name="254" dataDxfId="148"/>
    <tableColumn id="258" xr3:uid="{00000000-0010-0000-0200-000002010000}" name="255" dataDxfId="147"/>
    <tableColumn id="259" xr3:uid="{00000000-0010-0000-0200-000003010000}" name="256" dataDxfId="146"/>
    <tableColumn id="260" xr3:uid="{00000000-0010-0000-0200-000004010000}" name="257" dataDxfId="145"/>
    <tableColumn id="261" xr3:uid="{00000000-0010-0000-0200-000005010000}" name="258" dataDxfId="144"/>
    <tableColumn id="262" xr3:uid="{00000000-0010-0000-0200-000006010000}" name="259" dataDxfId="143"/>
    <tableColumn id="263" xr3:uid="{00000000-0010-0000-0200-000007010000}" name="260" dataDxfId="142"/>
    <tableColumn id="264" xr3:uid="{00000000-0010-0000-0200-000008010000}" name="261" dataDxfId="141"/>
    <tableColumn id="265" xr3:uid="{00000000-0010-0000-0200-000009010000}" name="262" dataDxfId="140"/>
    <tableColumn id="266" xr3:uid="{00000000-0010-0000-0200-00000A010000}" name="263" dataDxfId="139"/>
    <tableColumn id="267" xr3:uid="{00000000-0010-0000-0200-00000B010000}" name="264" dataDxfId="138"/>
    <tableColumn id="268" xr3:uid="{00000000-0010-0000-0200-00000C010000}" name="265" dataDxfId="137"/>
    <tableColumn id="269" xr3:uid="{00000000-0010-0000-0200-00000D010000}" name="266" dataDxfId="136"/>
    <tableColumn id="270" xr3:uid="{00000000-0010-0000-0200-00000E010000}" name="267" dataDxfId="135"/>
    <tableColumn id="271" xr3:uid="{00000000-0010-0000-0200-00000F010000}" name="268" dataDxfId="134"/>
    <tableColumn id="272" xr3:uid="{00000000-0010-0000-0200-000010010000}" name="269" dataDxfId="133"/>
    <tableColumn id="273" xr3:uid="{00000000-0010-0000-0200-000011010000}" name="270" dataDxfId="132"/>
    <tableColumn id="274" xr3:uid="{00000000-0010-0000-0200-000012010000}" name="271" dataDxfId="131"/>
    <tableColumn id="275" xr3:uid="{00000000-0010-0000-0200-000013010000}" name="272" dataDxfId="130"/>
    <tableColumn id="276" xr3:uid="{00000000-0010-0000-0200-000014010000}" name="273" dataDxfId="129"/>
    <tableColumn id="277" xr3:uid="{00000000-0010-0000-0200-000015010000}" name="274" dataDxfId="128"/>
    <tableColumn id="278" xr3:uid="{00000000-0010-0000-0200-000016010000}" name="275" dataDxfId="127"/>
    <tableColumn id="279" xr3:uid="{00000000-0010-0000-0200-000017010000}" name="276" dataDxfId="126"/>
    <tableColumn id="280" xr3:uid="{00000000-0010-0000-0200-000018010000}" name="277" dataDxfId="125"/>
    <tableColumn id="281" xr3:uid="{00000000-0010-0000-0200-000019010000}" name="278" dataDxfId="124"/>
    <tableColumn id="282" xr3:uid="{00000000-0010-0000-0200-00001A010000}" name="279" dataDxfId="123"/>
    <tableColumn id="283" xr3:uid="{00000000-0010-0000-0200-00001B010000}" name="280" dataDxfId="122"/>
    <tableColumn id="284" xr3:uid="{00000000-0010-0000-0200-00001C010000}" name="281" dataDxfId="121"/>
    <tableColumn id="285" xr3:uid="{00000000-0010-0000-0200-00001D010000}" name="282" dataDxfId="120"/>
    <tableColumn id="286" xr3:uid="{00000000-0010-0000-0200-00001E010000}" name="283" dataDxfId="119"/>
    <tableColumn id="287" xr3:uid="{00000000-0010-0000-0200-00001F010000}" name="284" dataDxfId="118"/>
    <tableColumn id="288" xr3:uid="{00000000-0010-0000-0200-000020010000}" name="285" dataDxfId="117"/>
    <tableColumn id="289" xr3:uid="{00000000-0010-0000-0200-000021010000}" name="286" dataDxfId="116"/>
    <tableColumn id="290" xr3:uid="{00000000-0010-0000-0200-000022010000}" name="287" dataDxfId="115"/>
    <tableColumn id="291" xr3:uid="{00000000-0010-0000-0200-000023010000}" name="288" dataDxfId="114"/>
    <tableColumn id="292" xr3:uid="{00000000-0010-0000-0200-000024010000}" name="289" dataDxfId="113"/>
    <tableColumn id="293" xr3:uid="{00000000-0010-0000-0200-000025010000}" name="290" dataDxfId="112"/>
    <tableColumn id="294" xr3:uid="{00000000-0010-0000-0200-000026010000}" name="291" dataDxfId="111"/>
    <tableColumn id="295" xr3:uid="{00000000-0010-0000-0200-000027010000}" name="292" dataDxfId="110"/>
    <tableColumn id="296" xr3:uid="{00000000-0010-0000-0200-000028010000}" name="293" dataDxfId="109"/>
    <tableColumn id="297" xr3:uid="{00000000-0010-0000-0200-000029010000}" name="294" dataDxfId="108"/>
    <tableColumn id="298" xr3:uid="{00000000-0010-0000-0200-00002A010000}" name="295" dataDxfId="107"/>
    <tableColumn id="299" xr3:uid="{00000000-0010-0000-0200-00002B010000}" name="296" dataDxfId="106"/>
    <tableColumn id="300" xr3:uid="{00000000-0010-0000-0200-00002C010000}" name="297" dataDxfId="105"/>
    <tableColumn id="301" xr3:uid="{00000000-0010-0000-0200-00002D010000}" name="298" dataDxfId="104"/>
    <tableColumn id="302" xr3:uid="{00000000-0010-0000-0200-00002E010000}" name="299" dataDxfId="103"/>
    <tableColumn id="303" xr3:uid="{00000000-0010-0000-0200-00002F010000}" name="300" dataDxfId="102"/>
    <tableColumn id="304" xr3:uid="{00000000-0010-0000-0200-000030010000}" name="301" dataDxfId="101"/>
    <tableColumn id="305" xr3:uid="{00000000-0010-0000-0200-000031010000}" name="302" dataDxfId="100"/>
    <tableColumn id="306" xr3:uid="{00000000-0010-0000-0200-000032010000}" name="303" dataDxfId="99"/>
    <tableColumn id="307" xr3:uid="{00000000-0010-0000-0200-000033010000}" name="304" dataDxfId="98"/>
    <tableColumn id="308" xr3:uid="{00000000-0010-0000-0200-000034010000}" name="305" dataDxfId="97"/>
    <tableColumn id="309" xr3:uid="{00000000-0010-0000-0200-000035010000}" name="306" dataDxfId="96"/>
    <tableColumn id="310" xr3:uid="{00000000-0010-0000-0200-000036010000}" name="307" dataDxfId="95"/>
    <tableColumn id="311" xr3:uid="{00000000-0010-0000-0200-000037010000}" name="308" dataDxfId="94"/>
    <tableColumn id="312" xr3:uid="{00000000-0010-0000-0200-000038010000}" name="309" dataDxfId="93"/>
    <tableColumn id="313" xr3:uid="{00000000-0010-0000-0200-000039010000}" name="310" dataDxfId="92"/>
    <tableColumn id="314" xr3:uid="{00000000-0010-0000-0200-00003A010000}" name="311" dataDxfId="91"/>
    <tableColumn id="315" xr3:uid="{00000000-0010-0000-0200-00003B010000}" name="312" dataDxfId="90"/>
    <tableColumn id="316" xr3:uid="{00000000-0010-0000-0200-00003C010000}" name="313" dataDxfId="89"/>
    <tableColumn id="317" xr3:uid="{00000000-0010-0000-0200-00003D010000}" name="314" dataDxfId="88"/>
    <tableColumn id="318" xr3:uid="{00000000-0010-0000-0200-00003E010000}" name="315" dataDxfId="87"/>
    <tableColumn id="319" xr3:uid="{00000000-0010-0000-0200-00003F010000}" name="316" dataDxfId="86"/>
    <tableColumn id="320" xr3:uid="{00000000-0010-0000-0200-000040010000}" name="317" dataDxfId="85"/>
    <tableColumn id="321" xr3:uid="{00000000-0010-0000-0200-000041010000}" name="318" dataDxfId="84"/>
    <tableColumn id="322" xr3:uid="{00000000-0010-0000-0200-000042010000}" name="319" dataDxfId="83"/>
    <tableColumn id="323" xr3:uid="{00000000-0010-0000-0200-000043010000}" name="320" dataDxfId="82"/>
    <tableColumn id="324" xr3:uid="{00000000-0010-0000-0200-000044010000}" name="321" dataDxfId="81"/>
    <tableColumn id="325" xr3:uid="{00000000-0010-0000-0200-000045010000}" name="322" dataDxfId="80"/>
    <tableColumn id="326" xr3:uid="{00000000-0010-0000-0200-000046010000}" name="323" dataDxfId="79"/>
    <tableColumn id="327" xr3:uid="{00000000-0010-0000-0200-000047010000}" name="324" dataDxfId="78"/>
    <tableColumn id="328" xr3:uid="{00000000-0010-0000-0200-000048010000}" name="325" dataDxfId="77"/>
    <tableColumn id="329" xr3:uid="{00000000-0010-0000-0200-000049010000}" name="326" dataDxfId="76"/>
    <tableColumn id="330" xr3:uid="{00000000-0010-0000-0200-00004A010000}" name="327" dataDxfId="75"/>
    <tableColumn id="331" xr3:uid="{00000000-0010-0000-0200-00004B010000}" name="328" dataDxfId="74"/>
    <tableColumn id="332" xr3:uid="{00000000-0010-0000-0200-00004C010000}" name="329" dataDxfId="73"/>
    <tableColumn id="333" xr3:uid="{00000000-0010-0000-0200-00004D010000}" name="330" dataDxfId="72"/>
    <tableColumn id="334" xr3:uid="{00000000-0010-0000-0200-00004E010000}" name="331" dataDxfId="71"/>
    <tableColumn id="335" xr3:uid="{00000000-0010-0000-0200-00004F010000}" name="332" dataDxfId="70"/>
    <tableColumn id="336" xr3:uid="{00000000-0010-0000-0200-000050010000}" name="333" dataDxfId="69"/>
    <tableColumn id="337" xr3:uid="{00000000-0010-0000-0200-000051010000}" name="334" dataDxfId="68"/>
    <tableColumn id="338" xr3:uid="{00000000-0010-0000-0200-000052010000}" name="335" dataDxfId="67"/>
    <tableColumn id="339" xr3:uid="{00000000-0010-0000-0200-000053010000}" name="336" dataDxfId="66"/>
    <tableColumn id="340" xr3:uid="{00000000-0010-0000-0200-000054010000}" name="337" dataDxfId="65"/>
    <tableColumn id="341" xr3:uid="{00000000-0010-0000-0200-000055010000}" name="338" dataDxfId="64"/>
    <tableColumn id="342" xr3:uid="{00000000-0010-0000-0200-000056010000}" name="339" dataDxfId="63"/>
    <tableColumn id="343" xr3:uid="{00000000-0010-0000-0200-000057010000}" name="340" dataDxfId="62"/>
    <tableColumn id="344" xr3:uid="{00000000-0010-0000-0200-000058010000}" name="341" dataDxfId="61"/>
    <tableColumn id="345" xr3:uid="{00000000-0010-0000-0200-000059010000}" name="342" dataDxfId="60"/>
    <tableColumn id="346" xr3:uid="{00000000-0010-0000-0200-00005A010000}" name="343" dataDxfId="59"/>
    <tableColumn id="347" xr3:uid="{00000000-0010-0000-0200-00005B010000}" name="344" dataDxfId="58"/>
    <tableColumn id="348" xr3:uid="{00000000-0010-0000-0200-00005C010000}" name="345" dataDxfId="57"/>
    <tableColumn id="349" xr3:uid="{00000000-0010-0000-0200-00005D010000}" name="346" dataDxfId="56"/>
    <tableColumn id="350" xr3:uid="{00000000-0010-0000-0200-00005E010000}" name="347" dataDxfId="55"/>
    <tableColumn id="351" xr3:uid="{00000000-0010-0000-0200-00005F010000}" name="348" dataDxfId="54"/>
    <tableColumn id="352" xr3:uid="{00000000-0010-0000-0200-000060010000}" name="349" dataDxfId="53"/>
    <tableColumn id="353" xr3:uid="{00000000-0010-0000-0200-000061010000}" name="350" dataDxfId="52"/>
    <tableColumn id="354" xr3:uid="{00000000-0010-0000-0200-000062010000}" name="351" dataDxfId="51"/>
    <tableColumn id="355" xr3:uid="{00000000-0010-0000-0200-000063010000}" name="352" dataDxfId="50"/>
    <tableColumn id="356" xr3:uid="{00000000-0010-0000-0200-000064010000}" name="353" dataDxfId="49"/>
    <tableColumn id="357" xr3:uid="{00000000-0010-0000-0200-000065010000}" name="354" dataDxfId="48"/>
    <tableColumn id="358" xr3:uid="{00000000-0010-0000-0200-000066010000}" name="355" dataDxfId="47"/>
    <tableColumn id="359" xr3:uid="{00000000-0010-0000-0200-000067010000}" name="356" dataDxfId="46"/>
    <tableColumn id="360" xr3:uid="{00000000-0010-0000-0200-000068010000}" name="357" dataDxfId="45"/>
    <tableColumn id="361" xr3:uid="{00000000-0010-0000-0200-000069010000}" name="358" dataDxfId="44"/>
    <tableColumn id="362" xr3:uid="{00000000-0010-0000-0200-00006A010000}" name="359" dataDxfId="43"/>
    <tableColumn id="363" xr3:uid="{00000000-0010-0000-0200-00006B010000}" name="360" dataDxfId="42"/>
    <tableColumn id="364" xr3:uid="{00000000-0010-0000-0200-00006C010000}" name="361" dataDxfId="41"/>
    <tableColumn id="365" xr3:uid="{00000000-0010-0000-0200-00006D010000}" name="362" dataDxfId="40"/>
    <tableColumn id="366" xr3:uid="{00000000-0010-0000-0200-00006E010000}" name="363" dataDxfId="39"/>
    <tableColumn id="367" xr3:uid="{00000000-0010-0000-0200-00006F010000}" name="364" dataDxfId="38"/>
    <tableColumn id="368" xr3:uid="{00000000-0010-0000-0200-000070010000}" name="365" dataDxfId="37"/>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eb.mit.edu/jabbott/www/excelgradetracker.html" TargetMode="Externa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AW32"/>
  <sheetViews>
    <sheetView tabSelected="1" zoomScaleNormal="100" workbookViewId="0">
      <pane xSplit="12" ySplit="14" topLeftCell="M15" activePane="bottomRight" state="frozen"/>
      <selection pane="topRight" activeCell="M1" sqref="M1"/>
      <selection pane="bottomLeft" activeCell="A12" sqref="A12"/>
      <selection pane="bottomRight" activeCell="B15" sqref="B15"/>
    </sheetView>
  </sheetViews>
  <sheetFormatPr defaultColWidth="8.85546875" defaultRowHeight="14.25" outlineLevelCol="1" x14ac:dyDescent="0.2"/>
  <cols>
    <col min="1" max="1" width="7.140625" style="8" customWidth="1"/>
    <col min="2" max="2" width="25" style="8" customWidth="1" collapsed="1"/>
    <col min="3" max="10" width="12.140625" style="8" hidden="1" customWidth="1" outlineLevel="1"/>
    <col min="11" max="11" width="12.140625" style="8" customWidth="1" collapsed="1"/>
    <col min="12" max="12" width="12.140625" style="8" customWidth="1"/>
    <col min="13" max="18" width="12.140625" style="8" customWidth="1" outlineLevel="1"/>
    <col min="19" max="48" width="12.140625" style="8" customWidth="1"/>
    <col min="49" max="49" width="5.42578125" style="8" customWidth="1"/>
    <col min="50" max="16384" width="8.85546875" style="8"/>
  </cols>
  <sheetData>
    <row r="1" spans="1:49" s="2" customFormat="1" x14ac:dyDescent="0.2">
      <c r="A1" s="86"/>
      <c r="B1" s="81" t="s">
        <v>0</v>
      </c>
      <c r="C1" s="35"/>
      <c r="D1" s="35"/>
      <c r="E1" s="35"/>
      <c r="F1" s="35"/>
      <c r="G1" s="35"/>
      <c r="H1" s="35"/>
      <c r="I1" s="35"/>
      <c r="J1" s="35"/>
      <c r="K1" s="36"/>
      <c r="L1" s="36"/>
      <c r="M1" s="45"/>
      <c r="N1" s="1"/>
      <c r="O1" s="1"/>
      <c r="P1" s="1"/>
      <c r="Q1" s="1"/>
      <c r="R1" s="1"/>
      <c r="S1" s="78" t="s">
        <v>94</v>
      </c>
      <c r="T1" s="78" t="s">
        <v>95</v>
      </c>
      <c r="U1" s="78" t="s">
        <v>94</v>
      </c>
      <c r="V1" s="78" t="s">
        <v>96</v>
      </c>
      <c r="W1" s="78" t="s">
        <v>12</v>
      </c>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29"/>
    </row>
    <row r="2" spans="1:49" s="2" customFormat="1" x14ac:dyDescent="0.2">
      <c r="A2" s="3"/>
      <c r="B2" s="4" t="s">
        <v>1</v>
      </c>
      <c r="C2" s="5"/>
      <c r="D2" s="5"/>
      <c r="E2" s="5"/>
      <c r="F2" s="5"/>
      <c r="G2" s="5"/>
      <c r="H2" s="5"/>
      <c r="I2" s="5"/>
      <c r="J2" s="5"/>
      <c r="K2" s="28"/>
      <c r="L2" s="28"/>
      <c r="M2" s="46" t="s">
        <v>83</v>
      </c>
      <c r="N2" s="47"/>
      <c r="O2" s="47"/>
      <c r="P2" s="47"/>
      <c r="Q2" s="47"/>
      <c r="R2" s="48"/>
      <c r="S2" s="79">
        <v>10</v>
      </c>
      <c r="T2" s="79">
        <v>15</v>
      </c>
      <c r="U2" s="79">
        <v>5</v>
      </c>
      <c r="V2" s="79">
        <v>50</v>
      </c>
      <c r="W2" s="79">
        <v>10</v>
      </c>
      <c r="X2" s="79"/>
      <c r="Y2" s="79"/>
      <c r="Z2" s="79"/>
      <c r="AA2" s="79"/>
      <c r="AB2" s="79"/>
      <c r="AC2" s="79"/>
      <c r="AD2" s="80"/>
      <c r="AE2" s="80"/>
      <c r="AF2" s="80"/>
      <c r="AG2" s="80"/>
      <c r="AH2" s="80"/>
      <c r="AI2" s="80"/>
      <c r="AJ2" s="80"/>
      <c r="AK2" s="80"/>
      <c r="AL2" s="80"/>
      <c r="AM2" s="80"/>
      <c r="AN2" s="80"/>
      <c r="AO2" s="80"/>
      <c r="AP2" s="80"/>
      <c r="AQ2" s="80"/>
      <c r="AR2" s="80"/>
      <c r="AS2" s="80"/>
      <c r="AT2" s="80"/>
      <c r="AU2" s="80"/>
      <c r="AV2" s="80"/>
      <c r="AW2" s="29"/>
    </row>
    <row r="3" spans="1:49" s="2" customFormat="1" x14ac:dyDescent="0.2">
      <c r="A3" s="7"/>
      <c r="B3" s="4" t="s">
        <v>84</v>
      </c>
      <c r="C3" s="6"/>
      <c r="D3" s="6"/>
      <c r="E3" s="6"/>
      <c r="F3" s="6"/>
      <c r="G3" s="6"/>
      <c r="H3" s="6"/>
      <c r="I3" s="6"/>
      <c r="J3" s="6"/>
      <c r="K3" s="6"/>
      <c r="L3" s="6"/>
      <c r="M3" s="49" t="str">
        <f>IF(SUM(M4:R4)=100%,"",CONCATENATE("Caution! Make this sum to 100%, not ",TEXT(SUM(M4:R4),"00%")))</f>
        <v/>
      </c>
      <c r="N3" s="50"/>
      <c r="O3" s="50"/>
      <c r="P3" s="50"/>
      <c r="Q3" s="50"/>
      <c r="R3" s="51"/>
      <c r="S3" s="52">
        <v>1</v>
      </c>
      <c r="T3" s="52">
        <v>1</v>
      </c>
      <c r="U3" s="52">
        <v>1</v>
      </c>
      <c r="V3" s="52">
        <v>1</v>
      </c>
      <c r="W3" s="52">
        <v>1</v>
      </c>
      <c r="X3" s="52">
        <v>1</v>
      </c>
      <c r="Y3" s="52">
        <v>1</v>
      </c>
      <c r="Z3" s="52">
        <v>1</v>
      </c>
      <c r="AA3" s="52">
        <v>1</v>
      </c>
      <c r="AB3" s="52">
        <v>1</v>
      </c>
      <c r="AC3" s="52">
        <v>1</v>
      </c>
      <c r="AD3" s="52">
        <v>1</v>
      </c>
      <c r="AE3" s="52">
        <v>1</v>
      </c>
      <c r="AF3" s="52">
        <v>1</v>
      </c>
      <c r="AG3" s="52">
        <v>1</v>
      </c>
      <c r="AH3" s="52">
        <v>1</v>
      </c>
      <c r="AI3" s="52">
        <v>1</v>
      </c>
      <c r="AJ3" s="52">
        <v>1</v>
      </c>
      <c r="AK3" s="52">
        <v>1</v>
      </c>
      <c r="AL3" s="52">
        <v>1</v>
      </c>
      <c r="AM3" s="52">
        <v>1</v>
      </c>
      <c r="AN3" s="52">
        <v>1</v>
      </c>
      <c r="AO3" s="52">
        <v>1</v>
      </c>
      <c r="AP3" s="52">
        <v>1</v>
      </c>
      <c r="AQ3" s="52">
        <v>1</v>
      </c>
      <c r="AR3" s="52">
        <v>1</v>
      </c>
      <c r="AS3" s="52">
        <v>1</v>
      </c>
      <c r="AT3" s="52">
        <v>1</v>
      </c>
      <c r="AU3" s="52">
        <v>1</v>
      </c>
      <c r="AV3" s="52">
        <v>1</v>
      </c>
      <c r="AW3" s="29"/>
    </row>
    <row r="4" spans="1:49" s="26" customFormat="1" x14ac:dyDescent="0.2">
      <c r="A4" s="41"/>
      <c r="B4" s="42" t="s">
        <v>71</v>
      </c>
      <c r="C4" s="43"/>
      <c r="D4" s="43"/>
      <c r="E4" s="43"/>
      <c r="F4" s="43"/>
      <c r="G4" s="43"/>
      <c r="H4" s="43"/>
      <c r="I4" s="43"/>
      <c r="J4" s="43"/>
      <c r="K4" s="43"/>
      <c r="L4" s="43"/>
      <c r="M4" s="75">
        <v>0.1</v>
      </c>
      <c r="N4" s="76">
        <v>0.2</v>
      </c>
      <c r="O4" s="76">
        <v>0.4</v>
      </c>
      <c r="P4" s="76">
        <v>0.3</v>
      </c>
      <c r="Q4" s="76">
        <v>0</v>
      </c>
      <c r="R4" s="77">
        <v>0</v>
      </c>
      <c r="S4" s="44">
        <v>42024</v>
      </c>
      <c r="T4" s="44">
        <v>42029</v>
      </c>
      <c r="U4" s="44">
        <v>42031</v>
      </c>
      <c r="V4" s="44">
        <v>42034</v>
      </c>
      <c r="W4" s="44">
        <v>42035</v>
      </c>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30"/>
    </row>
    <row r="5" spans="1:49" s="26" customFormat="1" ht="23.25" customHeight="1" x14ac:dyDescent="0.2">
      <c r="A5" s="134" t="str">
        <f ca="1">IFERROR(IF(_xlfn.NUMBERVALUE(INFO("release"))&lt;13,"You can hide this row that shows sparkline distribution charts in newer versions of Excel. Select this row (click the 5 to the left of this row) and then right click and click hide.",""),"")</f>
        <v/>
      </c>
      <c r="B5" s="32"/>
      <c r="C5" s="33"/>
      <c r="D5" s="33"/>
      <c r="E5" s="33"/>
      <c r="F5" s="33"/>
      <c r="G5" s="33"/>
      <c r="H5" s="33"/>
      <c r="I5" s="33"/>
      <c r="J5" s="33"/>
      <c r="K5" s="33"/>
      <c r="L5" s="33"/>
      <c r="M5" s="37"/>
      <c r="N5" s="33"/>
      <c r="O5" s="33"/>
      <c r="P5" s="33"/>
      <c r="Q5" s="33"/>
      <c r="R5" s="39"/>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0"/>
    </row>
    <row r="6" spans="1:49" s="26" customFormat="1" hidden="1" x14ac:dyDescent="0.2">
      <c r="A6" s="31" t="s">
        <v>116</v>
      </c>
      <c r="B6" s="31">
        <f>INDEX(TableOfLetterGrades[Score],MATCH(A6,TableOfLetterGrades[Grade],0))</f>
        <v>90</v>
      </c>
      <c r="C6" s="27"/>
      <c r="D6" s="27"/>
      <c r="E6" s="27"/>
      <c r="F6" s="27"/>
      <c r="G6" s="27"/>
      <c r="H6" s="27"/>
      <c r="I6" s="27"/>
      <c r="J6" s="27"/>
      <c r="K6" s="27">
        <f>COUNTIF(Trackerdata[Running Average],"&gt;="&amp;$B6)</f>
        <v>1</v>
      </c>
      <c r="L6" s="27"/>
      <c r="M6" s="38">
        <f>COUNTIF(Trackerdata[Homeworks],"&gt;="&amp;$B6)</f>
        <v>3</v>
      </c>
      <c r="N6" s="27">
        <f>COUNTIF(Trackerdata[Classworks],"&gt;="&amp;$B6)</f>
        <v>2</v>
      </c>
      <c r="O6" s="27">
        <f>COUNTIF(Trackerdata[Tests],"&gt;="&amp;$B6)</f>
        <v>2</v>
      </c>
      <c r="P6" s="27">
        <f>COUNTIF(Trackerdata[Projects],"&gt;="&amp;$B6)</f>
        <v>3</v>
      </c>
      <c r="Q6" s="27">
        <f>COUNTIF(Trackerdata[Another Type],"&gt;="&amp;$B6)</f>
        <v>0</v>
      </c>
      <c r="R6" s="40">
        <f>COUNTIF(Trackerdata[Another Type 2],"&gt;="&amp;$B6)</f>
        <v>0</v>
      </c>
      <c r="S6" s="27">
        <f>COUNTIF(Trackerdata[Homework One],"&gt;="&amp;($B6/100)*S$2)</f>
        <v>3</v>
      </c>
      <c r="T6" s="27">
        <f>COUNTIF(Trackerdata[Classwork  One],"&gt;="&amp;($B6/100)*T$2)</f>
        <v>2</v>
      </c>
      <c r="U6" s="27">
        <f>COUNTIF(Trackerdata[Homework Two],"&gt;="&amp;($B6/100)*U$2)</f>
        <v>1</v>
      </c>
      <c r="V6" s="27">
        <f>COUNTIF(Trackerdata[First Test],"&gt;="&amp;($B6/100)*V$2)</f>
        <v>2</v>
      </c>
      <c r="W6" s="27">
        <f>COUNTIF(Trackerdata[Project],"&gt;="&amp;($B6/100)*W$2)</f>
        <v>3</v>
      </c>
      <c r="X6" s="27">
        <f>COUNTIF(Trackerdata[Assessment 2],"&gt;="&amp;($B6/100)*X$2)</f>
        <v>0</v>
      </c>
      <c r="Y6" s="27">
        <f>COUNTIF(Trackerdata[Assessment 3],"&gt;="&amp;($B6/100)*Y$2)</f>
        <v>0</v>
      </c>
      <c r="Z6" s="27">
        <f>COUNTIF(Trackerdata[Assessment 4],"&gt;="&amp;($B6/100)*Z$2)</f>
        <v>0</v>
      </c>
      <c r="AA6" s="27">
        <f>COUNTIF(Trackerdata[Assessment 5],"&gt;="&amp;($B6/100)*AA$2)</f>
        <v>0</v>
      </c>
      <c r="AB6" s="27">
        <f>COUNTIF(Trackerdata[Assessment 6],"&gt;="&amp;($B6/100)*AB$2)</f>
        <v>0</v>
      </c>
      <c r="AC6" s="27">
        <f>COUNTIF(Trackerdata[Assessment 7],"&gt;="&amp;($B6/100)*AC$2)</f>
        <v>0</v>
      </c>
      <c r="AD6" s="27">
        <f>COUNTIF(Trackerdata[Assessment 8],"&gt;="&amp;($B6/100)*AD$2)</f>
        <v>0</v>
      </c>
      <c r="AE6" s="27">
        <f>COUNTIF(Trackerdata[Assessment 9],"&gt;="&amp;($B6/100)*AE$2)</f>
        <v>0</v>
      </c>
      <c r="AF6" s="27">
        <f>COUNTIF(Trackerdata[Assessment 10],"&gt;="&amp;($B6/100)*AF$2)</f>
        <v>0</v>
      </c>
      <c r="AG6" s="27">
        <f>COUNTIF(Trackerdata[Assessment 11],"&gt;="&amp;($B6/100)*AG$2)</f>
        <v>0</v>
      </c>
      <c r="AH6" s="27">
        <f>COUNTIF(Trackerdata[Assessment 12],"&gt;="&amp;($B6/100)*AH$2)</f>
        <v>0</v>
      </c>
      <c r="AI6" s="27">
        <f>COUNTIF(Trackerdata[Assessment 13],"&gt;="&amp;($B6/100)*AI$2)</f>
        <v>0</v>
      </c>
      <c r="AJ6" s="27">
        <f>COUNTIF(Trackerdata[Assessment 14],"&gt;="&amp;($B6/100)*AJ$2)</f>
        <v>0</v>
      </c>
      <c r="AK6" s="27">
        <f>COUNTIF(Trackerdata[Assessment 15],"&gt;="&amp;($B6/100)*AK$2)</f>
        <v>0</v>
      </c>
      <c r="AL6" s="27">
        <f>COUNTIF(Trackerdata[Assessment 16],"&gt;="&amp;($B6/100)*AL$2)</f>
        <v>0</v>
      </c>
      <c r="AM6" s="27">
        <f>COUNTIF(Trackerdata[Assessment 17],"&gt;="&amp;($B6/100)*AM$2)</f>
        <v>0</v>
      </c>
      <c r="AN6" s="27">
        <f>COUNTIF(Trackerdata[Assessment 18],"&gt;="&amp;($B6/100)*AN$2)</f>
        <v>0</v>
      </c>
      <c r="AO6" s="27">
        <f>COUNTIF(Trackerdata[Assessment 19],"&gt;="&amp;($B6/100)*AO$2)</f>
        <v>0</v>
      </c>
      <c r="AP6" s="27">
        <f>COUNTIF(Trackerdata[Assessment 20],"&gt;="&amp;($B6/100)*AP$2)</f>
        <v>0</v>
      </c>
      <c r="AQ6" s="27">
        <f>COUNTIF(Trackerdata[Assessment 21],"&gt;="&amp;($B6/100)*AQ$2)</f>
        <v>0</v>
      </c>
      <c r="AR6" s="27">
        <f>COUNTIF(Trackerdata[Assessment 22],"&gt;="&amp;($B6/100)*AR$2)</f>
        <v>0</v>
      </c>
      <c r="AS6" s="27">
        <f>COUNTIF(Trackerdata[Assessment 23],"&gt;="&amp;($B6/100)*AS$2)</f>
        <v>0</v>
      </c>
      <c r="AT6" s="27">
        <f>COUNTIF(Trackerdata[Assessment 24],"&gt;="&amp;($B6/100)*AT$2)</f>
        <v>0</v>
      </c>
      <c r="AU6" s="27">
        <f>COUNTIF(Trackerdata[Assessment 25],"&gt;="&amp;($B6/100)*AU$2)</f>
        <v>0</v>
      </c>
      <c r="AV6" s="27">
        <f>COUNTIF(Trackerdata[Assessment | Insert new columns before here],"&gt;="&amp;($B6/100)*AV$2)</f>
        <v>0</v>
      </c>
      <c r="AW6" s="30"/>
    </row>
    <row r="7" spans="1:49" s="26" customFormat="1" hidden="1" x14ac:dyDescent="0.2">
      <c r="A7" s="31" t="s">
        <v>120</v>
      </c>
      <c r="B7" s="31">
        <f>INDEX(TableOfLetterGrades[Score],MATCH(A7,TableOfLetterGrades[Grade],0))</f>
        <v>80</v>
      </c>
      <c r="C7" s="27"/>
      <c r="D7" s="27"/>
      <c r="E7" s="27"/>
      <c r="F7" s="27"/>
      <c r="G7" s="27"/>
      <c r="H7" s="27"/>
      <c r="I7" s="27"/>
      <c r="J7" s="27"/>
      <c r="K7" s="27">
        <f>COUNTIFS(Trackerdata[Running Average],"&gt;="&amp;$B7,Trackerdata[Running Average],"&lt;"&amp;$B6)</f>
        <v>3</v>
      </c>
      <c r="L7" s="27"/>
      <c r="M7" s="38">
        <f>COUNTIFS(Trackerdata[Homeworks],"&gt;="&amp;$B7,Trackerdata[Homeworks],"&lt;"&amp;$B6)</f>
        <v>1</v>
      </c>
      <c r="N7" s="27">
        <f>COUNTIFS(Trackerdata[Classworks],"&gt;="&amp;$B7,Trackerdata[Classworks],"&lt;"&amp;$B6)</f>
        <v>1</v>
      </c>
      <c r="O7" s="27">
        <f>COUNTIFS(Trackerdata[Tests],"&gt;="&amp;$B7,Trackerdata[Tests],"&lt;"&amp;$B6)</f>
        <v>2</v>
      </c>
      <c r="P7" s="27">
        <f>COUNTIFS(Trackerdata[Projects],"&gt;="&amp;$B7,Trackerdata[Projects],"&lt;"&amp;$B6)</f>
        <v>1</v>
      </c>
      <c r="Q7" s="27">
        <f>COUNTIFS(Trackerdata[Another Type],"&gt;="&amp;$B7,Trackerdata[Another Type],"&lt;"&amp;$B6)</f>
        <v>0</v>
      </c>
      <c r="R7" s="40">
        <f>COUNTIFS(Trackerdata[Another Type 2],"&gt;="&amp;$B7,Trackerdata[Another Type 2],"&lt;"&amp;$B6)</f>
        <v>0</v>
      </c>
      <c r="S7" s="27">
        <f>COUNTIFS(Trackerdata[Homework One],"&gt;="&amp;($B7/100)*S$2,Trackerdata[Homework One],"&lt;"&amp;($B6/100)*S$2)</f>
        <v>1</v>
      </c>
      <c r="T7" s="27">
        <f>COUNTIFS(Trackerdata[Classwork  One],"&gt;="&amp;($B7/100)*T$2,Trackerdata[Classwork  One],"&lt;"&amp;($B6/100)*T$2)</f>
        <v>1</v>
      </c>
      <c r="U7" s="27">
        <f>COUNTIFS(Trackerdata[Homework Two],"&gt;="&amp;($B7/100)*U$2,Trackerdata[Homework Two],"&lt;"&amp;($B6/100)*U$2)</f>
        <v>2</v>
      </c>
      <c r="V7" s="27">
        <f>COUNTIFS(Trackerdata[First Test],"&gt;="&amp;($B7/100)*V$2,Trackerdata[First Test],"&lt;"&amp;($B6/100)*V$2)</f>
        <v>2</v>
      </c>
      <c r="W7" s="27">
        <f>COUNTIFS(Trackerdata[Project],"&gt;="&amp;($B7/100)*W$2,Trackerdata[Project],"&lt;"&amp;($B6/100)*W$2)</f>
        <v>1</v>
      </c>
      <c r="X7" s="27">
        <f>COUNTIFS(Trackerdata[Assessment 2],"&gt;="&amp;($B7/100)*X$2,Trackerdata[Assessment 2],"&lt;"&amp;($B6/100)*X$2)</f>
        <v>0</v>
      </c>
      <c r="Y7" s="27">
        <f>COUNTIFS(Trackerdata[Assessment 3],"&gt;="&amp;($B7/100)*Y$2,Trackerdata[Assessment 3],"&lt;"&amp;($B6/100)*Y$2)</f>
        <v>0</v>
      </c>
      <c r="Z7" s="27">
        <f>COUNTIFS(Trackerdata[Assessment 4],"&gt;="&amp;($B7/100)*Z$2,Trackerdata[Assessment 4],"&lt;"&amp;($B6/100)*Z$2)</f>
        <v>0</v>
      </c>
      <c r="AA7" s="27">
        <f>COUNTIFS(Trackerdata[Assessment 5],"&gt;="&amp;($B7/100)*AA$2,Trackerdata[Assessment 5],"&lt;"&amp;($B6/100)*AA$2)</f>
        <v>0</v>
      </c>
      <c r="AB7" s="27">
        <f>COUNTIFS(Trackerdata[Assessment 6],"&gt;="&amp;($B7/100)*AB$2,Trackerdata[Assessment 6],"&lt;"&amp;($B6/100)*AB$2)</f>
        <v>0</v>
      </c>
      <c r="AC7" s="27">
        <f>COUNTIFS(Trackerdata[Assessment 7],"&gt;="&amp;($B7/100)*AC$2,Trackerdata[Assessment 7],"&lt;"&amp;($B6/100)*AC$2)</f>
        <v>0</v>
      </c>
      <c r="AD7" s="27">
        <f>COUNTIFS(Trackerdata[Assessment 8],"&gt;="&amp;($B7/100)*AD$2,Trackerdata[Assessment 8],"&lt;"&amp;($B6/100)*AD$2)</f>
        <v>0</v>
      </c>
      <c r="AE7" s="27">
        <f>COUNTIFS(Trackerdata[Assessment 9],"&gt;="&amp;($B7/100)*AE$2,Trackerdata[Assessment 9],"&lt;"&amp;($B6/100)*AE$2)</f>
        <v>0</v>
      </c>
      <c r="AF7" s="27">
        <f>COUNTIFS(Trackerdata[Assessment 10],"&gt;="&amp;($B7/100)*AF$2,Trackerdata[Assessment 10],"&lt;"&amp;($B6/100)*AF$2)</f>
        <v>0</v>
      </c>
      <c r="AG7" s="27">
        <f>COUNTIFS(Trackerdata[Assessment 11],"&gt;="&amp;($B7/100)*AG$2,Trackerdata[Assessment 11],"&lt;"&amp;($B6/100)*AG$2)</f>
        <v>0</v>
      </c>
      <c r="AH7" s="27">
        <f>COUNTIFS(Trackerdata[Assessment 12],"&gt;="&amp;($B7/100)*AH$2,Trackerdata[Assessment 12],"&lt;"&amp;($B6/100)*AH$2)</f>
        <v>0</v>
      </c>
      <c r="AI7" s="27">
        <f>COUNTIFS(Trackerdata[Assessment 13],"&gt;="&amp;($B7/100)*AI$2,Trackerdata[Assessment 13],"&lt;"&amp;($B6/100)*AI$2)</f>
        <v>0</v>
      </c>
      <c r="AJ7" s="27">
        <f>COUNTIFS(Trackerdata[Assessment 14],"&gt;="&amp;($B7/100)*AJ$2,Trackerdata[Assessment 14],"&lt;"&amp;($B6/100)*AJ$2)</f>
        <v>0</v>
      </c>
      <c r="AK7" s="27">
        <f>COUNTIFS(Trackerdata[Assessment 15],"&gt;="&amp;($B7/100)*AK$2,Trackerdata[Assessment 15],"&lt;"&amp;($B6/100)*AK$2)</f>
        <v>0</v>
      </c>
      <c r="AL7" s="27">
        <f>COUNTIFS(Trackerdata[Assessment 16],"&gt;="&amp;($B7/100)*AL$2,Trackerdata[Assessment 16],"&lt;"&amp;($B6/100)*AL$2)</f>
        <v>0</v>
      </c>
      <c r="AM7" s="27">
        <f>COUNTIFS(Trackerdata[Assessment 17],"&gt;="&amp;($B7/100)*AM$2,Trackerdata[Assessment 17],"&lt;"&amp;($B6/100)*AM$2)</f>
        <v>0</v>
      </c>
      <c r="AN7" s="27">
        <f>COUNTIFS(Trackerdata[Assessment 18],"&gt;="&amp;($B7/100)*AN$2,Trackerdata[Assessment 18],"&lt;"&amp;($B6/100)*AN$2)</f>
        <v>0</v>
      </c>
      <c r="AO7" s="27">
        <f>COUNTIFS(Trackerdata[Assessment 19],"&gt;="&amp;($B7/100)*AO$2,Trackerdata[Assessment 19],"&lt;"&amp;($B6/100)*AO$2)</f>
        <v>0</v>
      </c>
      <c r="AP7" s="27">
        <f>COUNTIFS(Trackerdata[Assessment 20],"&gt;="&amp;($B7/100)*AP$2,Trackerdata[Assessment 20],"&lt;"&amp;($B6/100)*AP$2)</f>
        <v>0</v>
      </c>
      <c r="AQ7" s="27">
        <f>COUNTIFS(Trackerdata[Assessment 21],"&gt;="&amp;($B7/100)*AQ$2,Trackerdata[Assessment 21],"&lt;"&amp;($B6/100)*AQ$2)</f>
        <v>0</v>
      </c>
      <c r="AR7" s="27">
        <f>COUNTIFS(Trackerdata[Assessment 22],"&gt;="&amp;($B7/100)*AR$2,Trackerdata[Assessment 22],"&lt;"&amp;($B6/100)*AR$2)</f>
        <v>0</v>
      </c>
      <c r="AS7" s="27">
        <f>COUNTIFS(Trackerdata[Assessment 23],"&gt;="&amp;($B7/100)*AS$2,Trackerdata[Assessment 23],"&lt;"&amp;($B6/100)*AS$2)</f>
        <v>0</v>
      </c>
      <c r="AT7" s="27">
        <f>COUNTIFS(Trackerdata[Assessment 24],"&gt;="&amp;($B7/100)*AT$2,Trackerdata[Assessment 24],"&lt;"&amp;($B6/100)*AT$2)</f>
        <v>0</v>
      </c>
      <c r="AU7" s="27">
        <f>COUNTIFS(Trackerdata[Assessment 25],"&gt;="&amp;($B7/100)*AU$2,Trackerdata[Assessment 25],"&lt;"&amp;($B6/100)*AU$2)</f>
        <v>0</v>
      </c>
      <c r="AV7" s="27">
        <f>COUNTIFS(Trackerdata[Assessment | Insert new columns before here],"&gt;="&amp;($B7/100)*AV$2,Trackerdata[Assessment | Insert new columns before here],"&lt;"&amp;($B6/100)*AV$2)</f>
        <v>0</v>
      </c>
      <c r="AW7" s="30"/>
    </row>
    <row r="8" spans="1:49" s="26" customFormat="1" hidden="1" x14ac:dyDescent="0.2">
      <c r="A8" s="31" t="s">
        <v>123</v>
      </c>
      <c r="B8" s="31">
        <f>INDEX(TableOfLetterGrades[Score],MATCH(A8,TableOfLetterGrades[Grade],0))</f>
        <v>70</v>
      </c>
      <c r="C8" s="27"/>
      <c r="D8" s="27"/>
      <c r="E8" s="27"/>
      <c r="F8" s="27"/>
      <c r="G8" s="27"/>
      <c r="H8" s="27"/>
      <c r="I8" s="27"/>
      <c r="J8" s="27"/>
      <c r="K8" s="27">
        <f>COUNTIFS(Trackerdata[Running Average],"&gt;="&amp;$B8,Trackerdata[Running Average],"&lt;"&amp;$B7)</f>
        <v>0</v>
      </c>
      <c r="L8" s="27"/>
      <c r="M8" s="38">
        <f>COUNTIFS(Trackerdata[Homeworks],"&gt;="&amp;$B8,Trackerdata[Homeworks],"&lt;"&amp;$B7)</f>
        <v>0</v>
      </c>
      <c r="N8" s="27">
        <f>COUNTIFS(Trackerdata[Classworks],"&gt;="&amp;$B8,Trackerdata[Classworks],"&lt;"&amp;$B7)</f>
        <v>0</v>
      </c>
      <c r="O8" s="27">
        <f>COUNTIFS(Trackerdata[Tests],"&gt;="&amp;$B8,Trackerdata[Tests],"&lt;"&amp;$B7)</f>
        <v>0</v>
      </c>
      <c r="P8" s="27">
        <f>COUNTIFS(Trackerdata[Projects],"&gt;="&amp;$B8,Trackerdata[Projects],"&lt;"&amp;$B7)</f>
        <v>0</v>
      </c>
      <c r="Q8" s="27">
        <f>COUNTIFS(Trackerdata[Another Type],"&gt;="&amp;$B8,Trackerdata[Another Type],"&lt;"&amp;$B7)</f>
        <v>0</v>
      </c>
      <c r="R8" s="40">
        <f>COUNTIFS(Trackerdata[Another Type 2],"&gt;="&amp;$B8,Trackerdata[Another Type 2],"&lt;"&amp;$B7)</f>
        <v>0</v>
      </c>
      <c r="S8" s="27">
        <f>COUNTIFS(Trackerdata[Homework One],"&gt;="&amp;($B8/100)*S$2,Trackerdata[Homework One],"&lt;"&amp;($B7/100)*S$2)</f>
        <v>0</v>
      </c>
      <c r="T8" s="27">
        <f>COUNTIFS(Trackerdata[Classwork  One],"&gt;="&amp;($B8/100)*T$2,Trackerdata[Classwork  One],"&lt;"&amp;($B7/100)*T$2)</f>
        <v>0</v>
      </c>
      <c r="U8" s="27">
        <f>COUNTIFS(Trackerdata[Homework Two],"&gt;="&amp;($B8/100)*U$2,Trackerdata[Homework Two],"&lt;"&amp;($B7/100)*U$2)</f>
        <v>0</v>
      </c>
      <c r="V8" s="27">
        <f>COUNTIFS(Trackerdata[First Test],"&gt;="&amp;($B8/100)*V$2,Trackerdata[First Test],"&lt;"&amp;($B7/100)*V$2)</f>
        <v>0</v>
      </c>
      <c r="W8" s="27">
        <f>COUNTIFS(Trackerdata[Project],"&gt;="&amp;($B8/100)*W$2,Trackerdata[Project],"&lt;"&amp;($B7/100)*W$2)</f>
        <v>0</v>
      </c>
      <c r="X8" s="27">
        <f>COUNTIFS(Trackerdata[Assessment 2],"&gt;="&amp;($B8/100)*X$2,Trackerdata[Assessment 2],"&lt;"&amp;($B7/100)*X$2)</f>
        <v>0</v>
      </c>
      <c r="Y8" s="27">
        <f>COUNTIFS(Trackerdata[Assessment 3],"&gt;="&amp;($B8/100)*Y$2,Trackerdata[Assessment 3],"&lt;"&amp;($B7/100)*Y$2)</f>
        <v>0</v>
      </c>
      <c r="Z8" s="27">
        <f>COUNTIFS(Trackerdata[Assessment 4],"&gt;="&amp;($B8/100)*Z$2,Trackerdata[Assessment 4],"&lt;"&amp;($B7/100)*Z$2)</f>
        <v>0</v>
      </c>
      <c r="AA8" s="27">
        <f>COUNTIFS(Trackerdata[Assessment 5],"&gt;="&amp;($B8/100)*AA$2,Trackerdata[Assessment 5],"&lt;"&amp;($B7/100)*AA$2)</f>
        <v>0</v>
      </c>
      <c r="AB8" s="27">
        <f>COUNTIFS(Trackerdata[Assessment 6],"&gt;="&amp;($B8/100)*AB$2,Trackerdata[Assessment 6],"&lt;"&amp;($B7/100)*AB$2)</f>
        <v>0</v>
      </c>
      <c r="AC8" s="27">
        <f>COUNTIFS(Trackerdata[Assessment 7],"&gt;="&amp;($B8/100)*AC$2,Trackerdata[Assessment 7],"&lt;"&amp;($B7/100)*AC$2)</f>
        <v>0</v>
      </c>
      <c r="AD8" s="27">
        <f>COUNTIFS(Trackerdata[Assessment 8],"&gt;="&amp;($B8/100)*AD$2,Trackerdata[Assessment 8],"&lt;"&amp;($B7/100)*AD$2)</f>
        <v>0</v>
      </c>
      <c r="AE8" s="27">
        <f>COUNTIFS(Trackerdata[Assessment 9],"&gt;="&amp;($B8/100)*AE$2,Trackerdata[Assessment 9],"&lt;"&amp;($B7/100)*AE$2)</f>
        <v>0</v>
      </c>
      <c r="AF8" s="27">
        <f>COUNTIFS(Trackerdata[Assessment 10],"&gt;="&amp;($B8/100)*AF$2,Trackerdata[Assessment 10],"&lt;"&amp;($B7/100)*AF$2)</f>
        <v>0</v>
      </c>
      <c r="AG8" s="27">
        <f>COUNTIFS(Trackerdata[Assessment 11],"&gt;="&amp;($B8/100)*AG$2,Trackerdata[Assessment 11],"&lt;"&amp;($B7/100)*AG$2)</f>
        <v>0</v>
      </c>
      <c r="AH8" s="27">
        <f>COUNTIFS(Trackerdata[Assessment 12],"&gt;="&amp;($B8/100)*AH$2,Trackerdata[Assessment 12],"&lt;"&amp;($B7/100)*AH$2)</f>
        <v>0</v>
      </c>
      <c r="AI8" s="27">
        <f>COUNTIFS(Trackerdata[Assessment 13],"&gt;="&amp;($B8/100)*AI$2,Trackerdata[Assessment 13],"&lt;"&amp;($B7/100)*AI$2)</f>
        <v>0</v>
      </c>
      <c r="AJ8" s="27">
        <f>COUNTIFS(Trackerdata[Assessment 14],"&gt;="&amp;($B8/100)*AJ$2,Trackerdata[Assessment 14],"&lt;"&amp;($B7/100)*AJ$2)</f>
        <v>0</v>
      </c>
      <c r="AK8" s="27">
        <f>COUNTIFS(Trackerdata[Assessment 15],"&gt;="&amp;($B8/100)*AK$2,Trackerdata[Assessment 15],"&lt;"&amp;($B7/100)*AK$2)</f>
        <v>0</v>
      </c>
      <c r="AL8" s="27">
        <f>COUNTIFS(Trackerdata[Assessment 16],"&gt;="&amp;($B8/100)*AL$2,Trackerdata[Assessment 16],"&lt;"&amp;($B7/100)*AL$2)</f>
        <v>0</v>
      </c>
      <c r="AM8" s="27">
        <f>COUNTIFS(Trackerdata[Assessment 17],"&gt;="&amp;($B8/100)*AM$2,Trackerdata[Assessment 17],"&lt;"&amp;($B7/100)*AM$2)</f>
        <v>0</v>
      </c>
      <c r="AN8" s="27">
        <f>COUNTIFS(Trackerdata[Assessment 18],"&gt;="&amp;($B8/100)*AN$2,Trackerdata[Assessment 18],"&lt;"&amp;($B7/100)*AN$2)</f>
        <v>0</v>
      </c>
      <c r="AO8" s="27">
        <f>COUNTIFS(Trackerdata[Assessment 19],"&gt;="&amp;($B8/100)*AO$2,Trackerdata[Assessment 19],"&lt;"&amp;($B7/100)*AO$2)</f>
        <v>0</v>
      </c>
      <c r="AP8" s="27">
        <f>COUNTIFS(Trackerdata[Assessment 20],"&gt;="&amp;($B8/100)*AP$2,Trackerdata[Assessment 20],"&lt;"&amp;($B7/100)*AP$2)</f>
        <v>0</v>
      </c>
      <c r="AQ8" s="27">
        <f>COUNTIFS(Trackerdata[Assessment 21],"&gt;="&amp;($B8/100)*AQ$2,Trackerdata[Assessment 21],"&lt;"&amp;($B7/100)*AQ$2)</f>
        <v>0</v>
      </c>
      <c r="AR8" s="27">
        <f>COUNTIFS(Trackerdata[Assessment 22],"&gt;="&amp;($B8/100)*AR$2,Trackerdata[Assessment 22],"&lt;"&amp;($B7/100)*AR$2)</f>
        <v>0</v>
      </c>
      <c r="AS8" s="27">
        <f>COUNTIFS(Trackerdata[Assessment 23],"&gt;="&amp;($B8/100)*AS$2,Trackerdata[Assessment 23],"&lt;"&amp;($B7/100)*AS$2)</f>
        <v>0</v>
      </c>
      <c r="AT8" s="27">
        <f>COUNTIFS(Trackerdata[Assessment 24],"&gt;="&amp;($B8/100)*AT$2,Trackerdata[Assessment 24],"&lt;"&amp;($B7/100)*AT$2)</f>
        <v>0</v>
      </c>
      <c r="AU8" s="27">
        <f>COUNTIFS(Trackerdata[Assessment 25],"&gt;="&amp;($B8/100)*AU$2,Trackerdata[Assessment 25],"&lt;"&amp;($B7/100)*AU$2)</f>
        <v>0</v>
      </c>
      <c r="AV8" s="27">
        <f>COUNTIFS(Trackerdata[Assessment | Insert new columns before here],"&gt;="&amp;($B8/100)*AV$2,Trackerdata[Assessment | Insert new columns before here],"&lt;"&amp;($B7/100)*AV$2)</f>
        <v>0</v>
      </c>
      <c r="AW8" s="30"/>
    </row>
    <row r="9" spans="1:49" s="26" customFormat="1" hidden="1" x14ac:dyDescent="0.2">
      <c r="A9" s="31" t="s">
        <v>126</v>
      </c>
      <c r="B9" s="31">
        <f>INDEX(TableOfLetterGrades[Score],MATCH(A9,TableOfLetterGrades[Grade],0))</f>
        <v>60</v>
      </c>
      <c r="C9" s="27"/>
      <c r="D9" s="27"/>
      <c r="E9" s="27"/>
      <c r="F9" s="27"/>
      <c r="G9" s="27"/>
      <c r="H9" s="27"/>
      <c r="I9" s="27"/>
      <c r="J9" s="27"/>
      <c r="K9" s="27">
        <f>COUNTIFS(Trackerdata[Running Average],"&gt;="&amp;$B9,Trackerdata[Running Average],"&lt;"&amp;$B8)</f>
        <v>0</v>
      </c>
      <c r="L9" s="27"/>
      <c r="M9" s="38">
        <f>COUNTIFS(Trackerdata[Homeworks],"&gt;="&amp;$B9,Trackerdata[Homeworks],"&lt;"&amp;$B8)</f>
        <v>0</v>
      </c>
      <c r="N9" s="27">
        <f>COUNTIFS(Trackerdata[Classworks],"&gt;="&amp;$B9,Trackerdata[Classworks],"&lt;"&amp;$B8)</f>
        <v>1</v>
      </c>
      <c r="O9" s="27">
        <f>COUNTIFS(Trackerdata[Tests],"&gt;="&amp;$B9,Trackerdata[Tests],"&lt;"&amp;$B8)</f>
        <v>0</v>
      </c>
      <c r="P9" s="27">
        <f>COUNTIFS(Trackerdata[Projects],"&gt;="&amp;$B9,Trackerdata[Projects],"&lt;"&amp;$B8)</f>
        <v>0</v>
      </c>
      <c r="Q9" s="27">
        <f>COUNTIFS(Trackerdata[Another Type],"&gt;="&amp;$B9,Trackerdata[Another Type],"&lt;"&amp;$B8)</f>
        <v>0</v>
      </c>
      <c r="R9" s="40">
        <f>COUNTIFS(Trackerdata[Another Type 2],"&gt;="&amp;$B9,Trackerdata[Another Type 2],"&lt;"&amp;$B8)</f>
        <v>0</v>
      </c>
      <c r="S9" s="27">
        <f>COUNTIFS(Trackerdata[Homework One],"&gt;="&amp;($B9/100)*S$2,Trackerdata[Homework One],"&lt;"&amp;($B8/100)*S$2)</f>
        <v>0</v>
      </c>
      <c r="T9" s="27">
        <f>COUNTIFS(Trackerdata[Classwork  One],"&gt;="&amp;($B9/100)*T$2,Trackerdata[Classwork  One],"&lt;"&amp;($B8/100)*T$2)</f>
        <v>1</v>
      </c>
      <c r="U9" s="27">
        <f>COUNTIFS(Trackerdata[Homework Two],"&gt;="&amp;($B9/100)*U$2,Trackerdata[Homework Two],"&lt;"&amp;($B8/100)*U$2)</f>
        <v>0</v>
      </c>
      <c r="V9" s="27">
        <f>COUNTIFS(Trackerdata[First Test],"&gt;="&amp;($B9/100)*V$2,Trackerdata[First Test],"&lt;"&amp;($B8/100)*V$2)</f>
        <v>0</v>
      </c>
      <c r="W9" s="27">
        <f>COUNTIFS(Trackerdata[Project],"&gt;="&amp;($B9/100)*W$2,Trackerdata[Project],"&lt;"&amp;($B8/100)*W$2)</f>
        <v>0</v>
      </c>
      <c r="X9" s="27">
        <f>COUNTIFS(Trackerdata[Assessment 2],"&gt;="&amp;($B9/100)*X$2,Trackerdata[Assessment 2],"&lt;"&amp;($B8/100)*X$2)</f>
        <v>0</v>
      </c>
      <c r="Y9" s="27">
        <f>COUNTIFS(Trackerdata[Assessment 3],"&gt;="&amp;($B9/100)*Y$2,Trackerdata[Assessment 3],"&lt;"&amp;($B8/100)*Y$2)</f>
        <v>0</v>
      </c>
      <c r="Z9" s="27">
        <f>COUNTIFS(Trackerdata[Assessment 4],"&gt;="&amp;($B9/100)*Z$2,Trackerdata[Assessment 4],"&lt;"&amp;($B8/100)*Z$2)</f>
        <v>0</v>
      </c>
      <c r="AA9" s="27">
        <f>COUNTIFS(Trackerdata[Assessment 5],"&gt;="&amp;($B9/100)*AA$2,Trackerdata[Assessment 5],"&lt;"&amp;($B8/100)*AA$2)</f>
        <v>0</v>
      </c>
      <c r="AB9" s="27">
        <f>COUNTIFS(Trackerdata[Assessment 6],"&gt;="&amp;($B9/100)*AB$2,Trackerdata[Assessment 6],"&lt;"&amp;($B8/100)*AB$2)</f>
        <v>0</v>
      </c>
      <c r="AC9" s="27">
        <f>COUNTIFS(Trackerdata[Assessment 7],"&gt;="&amp;($B9/100)*AC$2,Trackerdata[Assessment 7],"&lt;"&amp;($B8/100)*AC$2)</f>
        <v>0</v>
      </c>
      <c r="AD9" s="27">
        <f>COUNTIFS(Trackerdata[Assessment 8],"&gt;="&amp;($B9/100)*AD$2,Trackerdata[Assessment 8],"&lt;"&amp;($B8/100)*AD$2)</f>
        <v>0</v>
      </c>
      <c r="AE9" s="27">
        <f>COUNTIFS(Trackerdata[Assessment 9],"&gt;="&amp;($B9/100)*AE$2,Trackerdata[Assessment 9],"&lt;"&amp;($B8/100)*AE$2)</f>
        <v>0</v>
      </c>
      <c r="AF9" s="27">
        <f>COUNTIFS(Trackerdata[Assessment 10],"&gt;="&amp;($B9/100)*AF$2,Trackerdata[Assessment 10],"&lt;"&amp;($B8/100)*AF$2)</f>
        <v>0</v>
      </c>
      <c r="AG9" s="27">
        <f>COUNTIFS(Trackerdata[Assessment 11],"&gt;="&amp;($B9/100)*AG$2,Trackerdata[Assessment 11],"&lt;"&amp;($B8/100)*AG$2)</f>
        <v>0</v>
      </c>
      <c r="AH9" s="27">
        <f>COUNTIFS(Trackerdata[Assessment 12],"&gt;="&amp;($B9/100)*AH$2,Trackerdata[Assessment 12],"&lt;"&amp;($B8/100)*AH$2)</f>
        <v>0</v>
      </c>
      <c r="AI9" s="27">
        <f>COUNTIFS(Trackerdata[Assessment 13],"&gt;="&amp;($B9/100)*AI$2,Trackerdata[Assessment 13],"&lt;"&amp;($B8/100)*AI$2)</f>
        <v>0</v>
      </c>
      <c r="AJ9" s="27">
        <f>COUNTIFS(Trackerdata[Assessment 14],"&gt;="&amp;($B9/100)*AJ$2,Trackerdata[Assessment 14],"&lt;"&amp;($B8/100)*AJ$2)</f>
        <v>0</v>
      </c>
      <c r="AK9" s="27">
        <f>COUNTIFS(Trackerdata[Assessment 15],"&gt;="&amp;($B9/100)*AK$2,Trackerdata[Assessment 15],"&lt;"&amp;($B8/100)*AK$2)</f>
        <v>0</v>
      </c>
      <c r="AL9" s="27">
        <f>COUNTIFS(Trackerdata[Assessment 16],"&gt;="&amp;($B9/100)*AL$2,Trackerdata[Assessment 16],"&lt;"&amp;($B8/100)*AL$2)</f>
        <v>0</v>
      </c>
      <c r="AM9" s="27">
        <f>COUNTIFS(Trackerdata[Assessment 17],"&gt;="&amp;($B9/100)*AM$2,Trackerdata[Assessment 17],"&lt;"&amp;($B8/100)*AM$2)</f>
        <v>0</v>
      </c>
      <c r="AN9" s="27">
        <f>COUNTIFS(Trackerdata[Assessment 18],"&gt;="&amp;($B9/100)*AN$2,Trackerdata[Assessment 18],"&lt;"&amp;($B8/100)*AN$2)</f>
        <v>0</v>
      </c>
      <c r="AO9" s="27">
        <f>COUNTIFS(Trackerdata[Assessment 19],"&gt;="&amp;($B9/100)*AO$2,Trackerdata[Assessment 19],"&lt;"&amp;($B8/100)*AO$2)</f>
        <v>0</v>
      </c>
      <c r="AP9" s="27">
        <f>COUNTIFS(Trackerdata[Assessment 20],"&gt;="&amp;($B9/100)*AP$2,Trackerdata[Assessment 20],"&lt;"&amp;($B8/100)*AP$2)</f>
        <v>0</v>
      </c>
      <c r="AQ9" s="27">
        <f>COUNTIFS(Trackerdata[Assessment 21],"&gt;="&amp;($B9/100)*AQ$2,Trackerdata[Assessment 21],"&lt;"&amp;($B8/100)*AQ$2)</f>
        <v>0</v>
      </c>
      <c r="AR9" s="27">
        <f>COUNTIFS(Trackerdata[Assessment 22],"&gt;="&amp;($B9/100)*AR$2,Trackerdata[Assessment 22],"&lt;"&amp;($B8/100)*AR$2)</f>
        <v>0</v>
      </c>
      <c r="AS9" s="27">
        <f>COUNTIFS(Trackerdata[Assessment 23],"&gt;="&amp;($B9/100)*AS$2,Trackerdata[Assessment 23],"&lt;"&amp;($B8/100)*AS$2)</f>
        <v>0</v>
      </c>
      <c r="AT9" s="27">
        <f>COUNTIFS(Trackerdata[Assessment 24],"&gt;="&amp;($B9/100)*AT$2,Trackerdata[Assessment 24],"&lt;"&amp;($B8/100)*AT$2)</f>
        <v>0</v>
      </c>
      <c r="AU9" s="27">
        <f>COUNTIFS(Trackerdata[Assessment 25],"&gt;="&amp;($B9/100)*AU$2,Trackerdata[Assessment 25],"&lt;"&amp;($B8/100)*AU$2)</f>
        <v>0</v>
      </c>
      <c r="AV9" s="27">
        <f>COUNTIFS(Trackerdata[Assessment | Insert new columns before here],"&gt;="&amp;($B9/100)*AV$2,Trackerdata[Assessment | Insert new columns before here],"&lt;"&amp;($B8/100)*AV$2)</f>
        <v>0</v>
      </c>
      <c r="AW9" s="30"/>
    </row>
    <row r="10" spans="1:49" s="26" customFormat="1" hidden="1" x14ac:dyDescent="0.2">
      <c r="A10" s="31" t="s">
        <v>75</v>
      </c>
      <c r="B10" s="31">
        <v>0</v>
      </c>
      <c r="C10" s="27"/>
      <c r="D10" s="27"/>
      <c r="E10" s="27"/>
      <c r="F10" s="27"/>
      <c r="G10" s="27"/>
      <c r="H10" s="27"/>
      <c r="I10" s="27"/>
      <c r="J10" s="27"/>
      <c r="K10" s="27">
        <f>COUNTIF(Trackerdata[Running Average],"&lt;"&amp;$B9)</f>
        <v>6</v>
      </c>
      <c r="L10" s="27"/>
      <c r="M10" s="38">
        <f>COUNTIF(Trackerdata[Homeworks],"&lt;"&amp;$B9)</f>
        <v>6</v>
      </c>
      <c r="N10" s="27">
        <f>COUNTIF(Trackerdata[Classworks],"&lt;"&amp;$B9)</f>
        <v>6</v>
      </c>
      <c r="O10" s="27">
        <f>COUNTIF(Trackerdata[Tests],"&lt;"&amp;$B9)</f>
        <v>6</v>
      </c>
      <c r="P10" s="27">
        <f>COUNTIF(Trackerdata[Projects],"&lt;"&amp;$B9)</f>
        <v>6</v>
      </c>
      <c r="Q10" s="27">
        <f>COUNTIF(Trackerdata[Another Type],"&lt;"&amp;$B9)</f>
        <v>0</v>
      </c>
      <c r="R10" s="40">
        <f>COUNTIF(Trackerdata[Another Type 2],"&lt;"&amp;$B9)</f>
        <v>0</v>
      </c>
      <c r="S10" s="27">
        <f>COUNTIF(Trackerdata[Homework One],"&lt;"&amp;($B9/100)*S$2)</f>
        <v>0</v>
      </c>
      <c r="T10" s="27">
        <f>COUNTIF(Trackerdata[Classwork  One],"&lt;"&amp;($B9/100)*T$2)</f>
        <v>0</v>
      </c>
      <c r="U10" s="27">
        <f>COUNTIF(Trackerdata[Homework Two],"&lt;"&amp;($B9/100)*U$2)</f>
        <v>0</v>
      </c>
      <c r="V10" s="27">
        <f>COUNTIF(Trackerdata[First Test],"&lt;"&amp;($B9/100)*V$2)</f>
        <v>0</v>
      </c>
      <c r="W10" s="27">
        <f>COUNTIF(Trackerdata[Project],"&lt;"&amp;($B9/100)*W$2)</f>
        <v>0</v>
      </c>
      <c r="X10" s="27">
        <f>COUNTIF(Trackerdata[Assessment 2],"&lt;"&amp;($B9/100)*X$2)</f>
        <v>0</v>
      </c>
      <c r="Y10" s="27">
        <f>COUNTIF(Trackerdata[Assessment 3],"&lt;"&amp;($B9/100)*Y$2)</f>
        <v>0</v>
      </c>
      <c r="Z10" s="27">
        <f>COUNTIF(Trackerdata[Assessment 4],"&lt;"&amp;($B9/100)*Z$2)</f>
        <v>0</v>
      </c>
      <c r="AA10" s="27">
        <f>COUNTIF(Trackerdata[Assessment 5],"&lt;"&amp;($B9/100)*AA$2)</f>
        <v>0</v>
      </c>
      <c r="AB10" s="27">
        <f>COUNTIF(Trackerdata[Assessment 6],"&lt;"&amp;($B9/100)*AB$2)</f>
        <v>0</v>
      </c>
      <c r="AC10" s="27">
        <f>COUNTIF(Trackerdata[Assessment 7],"&lt;"&amp;($B9/100)*AC$2)</f>
        <v>0</v>
      </c>
      <c r="AD10" s="27">
        <f>COUNTIF(Trackerdata[Assessment 8],"&lt;"&amp;($B9/100)*AD$2)</f>
        <v>0</v>
      </c>
      <c r="AE10" s="27">
        <f>COUNTIF(Trackerdata[Assessment 9],"&lt;"&amp;($B9/100)*AE$2)</f>
        <v>0</v>
      </c>
      <c r="AF10" s="27">
        <f>COUNTIF(Trackerdata[Assessment 10],"&lt;"&amp;($B9/100)*AF$2)</f>
        <v>0</v>
      </c>
      <c r="AG10" s="27">
        <f>COUNTIF(Trackerdata[Assessment 11],"&lt;"&amp;($B9/100)*AG$2)</f>
        <v>0</v>
      </c>
      <c r="AH10" s="27">
        <f>COUNTIF(Trackerdata[Assessment 12],"&lt;"&amp;($B9/100)*AH$2)</f>
        <v>0</v>
      </c>
      <c r="AI10" s="27">
        <f>COUNTIF(Trackerdata[Assessment 13],"&lt;"&amp;($B9/100)*AI$2)</f>
        <v>0</v>
      </c>
      <c r="AJ10" s="27">
        <f>COUNTIF(Trackerdata[Assessment 14],"&lt;"&amp;($B9/100)*AJ$2)</f>
        <v>0</v>
      </c>
      <c r="AK10" s="27">
        <f>COUNTIF(Trackerdata[Assessment 15],"&lt;"&amp;($B9/100)*AK$2)</f>
        <v>0</v>
      </c>
      <c r="AL10" s="27">
        <f>COUNTIF(Trackerdata[Assessment 16],"&lt;"&amp;($B9/100)*AL$2)</f>
        <v>0</v>
      </c>
      <c r="AM10" s="27">
        <f>COUNTIF(Trackerdata[Assessment 17],"&lt;"&amp;($B9/100)*AM$2)</f>
        <v>0</v>
      </c>
      <c r="AN10" s="27">
        <f>COUNTIF(Trackerdata[Assessment 18],"&lt;"&amp;($B9/100)*AN$2)</f>
        <v>0</v>
      </c>
      <c r="AO10" s="27">
        <f>COUNTIF(Trackerdata[Assessment 19],"&lt;"&amp;($B9/100)*AO$2)</f>
        <v>0</v>
      </c>
      <c r="AP10" s="27">
        <f>COUNTIF(Trackerdata[Assessment 20],"&lt;"&amp;($B9/100)*AP$2)</f>
        <v>0</v>
      </c>
      <c r="AQ10" s="27">
        <f>COUNTIF(Trackerdata[Assessment 21],"&lt;"&amp;($B9/100)*AQ$2)</f>
        <v>0</v>
      </c>
      <c r="AR10" s="27">
        <f>COUNTIF(Trackerdata[Assessment 22],"&lt;"&amp;($B9/100)*AR$2)</f>
        <v>0</v>
      </c>
      <c r="AS10" s="27">
        <f>COUNTIF(Trackerdata[Assessment 23],"&lt;"&amp;($B9/100)*AS$2)</f>
        <v>0</v>
      </c>
      <c r="AT10" s="27">
        <f>COUNTIF(Trackerdata[Assessment 24],"&lt;"&amp;($B9/100)*AT$2)</f>
        <v>0</v>
      </c>
      <c r="AU10" s="27">
        <f>COUNTIF(Trackerdata[Assessment 25],"&lt;"&amp;($B9/100)*AU$2)</f>
        <v>0</v>
      </c>
      <c r="AV10" s="27">
        <f>COUNTIF(Trackerdata[Assessment | Insert new columns before here],"&lt;"&amp;($B9/100)*AV$2)</f>
        <v>0</v>
      </c>
      <c r="AW10" s="30"/>
    </row>
    <row r="11" spans="1:49" s="26" customFormat="1" hidden="1" x14ac:dyDescent="0.2">
      <c r="A11" s="144" t="s">
        <v>137</v>
      </c>
      <c r="B11" s="136"/>
      <c r="C11" s="137"/>
      <c r="D11" s="137"/>
      <c r="E11" s="137"/>
      <c r="F11" s="137"/>
      <c r="G11" s="137"/>
      <c r="H11" s="137"/>
      <c r="I11" s="137"/>
      <c r="J11" s="137"/>
      <c r="K11" s="137">
        <f>IFERROR(IF(ColorTable="yes",Greenthreshold,""),"")</f>
        <v>85</v>
      </c>
      <c r="L11" s="137"/>
      <c r="M11" s="137"/>
      <c r="N11" s="137"/>
      <c r="O11" s="137"/>
      <c r="P11" s="137"/>
      <c r="Q11" s="137"/>
      <c r="R11" s="137"/>
      <c r="S11" s="137">
        <f t="shared" ref="S11:AV11" si="0">IFERROR(IF(ColorTable="yes",Greenthreshold/100*S2,""),"")</f>
        <v>8.5</v>
      </c>
      <c r="T11" s="137">
        <f t="shared" si="0"/>
        <v>12.75</v>
      </c>
      <c r="U11" s="137">
        <f t="shared" si="0"/>
        <v>4.25</v>
      </c>
      <c r="V11" s="137">
        <f t="shared" si="0"/>
        <v>42.5</v>
      </c>
      <c r="W11" s="137">
        <f t="shared" si="0"/>
        <v>8.5</v>
      </c>
      <c r="X11" s="137">
        <f t="shared" si="0"/>
        <v>0</v>
      </c>
      <c r="Y11" s="137">
        <f t="shared" si="0"/>
        <v>0</v>
      </c>
      <c r="Z11" s="137">
        <f t="shared" si="0"/>
        <v>0</v>
      </c>
      <c r="AA11" s="137">
        <f t="shared" si="0"/>
        <v>0</v>
      </c>
      <c r="AB11" s="137">
        <f t="shared" si="0"/>
        <v>0</v>
      </c>
      <c r="AC11" s="137">
        <f t="shared" si="0"/>
        <v>0</v>
      </c>
      <c r="AD11" s="137">
        <f t="shared" si="0"/>
        <v>0</v>
      </c>
      <c r="AE11" s="137">
        <f t="shared" si="0"/>
        <v>0</v>
      </c>
      <c r="AF11" s="137">
        <f t="shared" si="0"/>
        <v>0</v>
      </c>
      <c r="AG11" s="137">
        <f t="shared" si="0"/>
        <v>0</v>
      </c>
      <c r="AH11" s="137">
        <f t="shared" si="0"/>
        <v>0</v>
      </c>
      <c r="AI11" s="137">
        <f t="shared" si="0"/>
        <v>0</v>
      </c>
      <c r="AJ11" s="137">
        <f t="shared" si="0"/>
        <v>0</v>
      </c>
      <c r="AK11" s="137">
        <f t="shared" si="0"/>
        <v>0</v>
      </c>
      <c r="AL11" s="137">
        <f t="shared" si="0"/>
        <v>0</v>
      </c>
      <c r="AM11" s="137">
        <f t="shared" si="0"/>
        <v>0</v>
      </c>
      <c r="AN11" s="137">
        <f t="shared" si="0"/>
        <v>0</v>
      </c>
      <c r="AO11" s="137">
        <f t="shared" si="0"/>
        <v>0</v>
      </c>
      <c r="AP11" s="137">
        <f t="shared" si="0"/>
        <v>0</v>
      </c>
      <c r="AQ11" s="137">
        <f t="shared" si="0"/>
        <v>0</v>
      </c>
      <c r="AR11" s="137">
        <f t="shared" si="0"/>
        <v>0</v>
      </c>
      <c r="AS11" s="137">
        <f t="shared" si="0"/>
        <v>0</v>
      </c>
      <c r="AT11" s="137">
        <f t="shared" si="0"/>
        <v>0</v>
      </c>
      <c r="AU11" s="137">
        <f t="shared" si="0"/>
        <v>0</v>
      </c>
      <c r="AV11" s="137">
        <f t="shared" si="0"/>
        <v>0</v>
      </c>
      <c r="AW11" s="30"/>
    </row>
    <row r="12" spans="1:49" s="26" customFormat="1" hidden="1" x14ac:dyDescent="0.2">
      <c r="A12" s="142" t="s">
        <v>138</v>
      </c>
      <c r="B12" s="138"/>
      <c r="C12" s="139"/>
      <c r="D12" s="139"/>
      <c r="E12" s="139"/>
      <c r="F12" s="139"/>
      <c r="G12" s="139"/>
      <c r="H12" s="139"/>
      <c r="I12" s="139"/>
      <c r="J12" s="139"/>
      <c r="K12" s="139">
        <f>IFERROR(IF(ColorTable="yes",Yellowthreshold,""),"")</f>
        <v>0</v>
      </c>
      <c r="L12" s="139"/>
      <c r="M12" s="139"/>
      <c r="N12" s="139"/>
      <c r="O12" s="139"/>
      <c r="P12" s="139"/>
      <c r="Q12" s="139"/>
      <c r="R12" s="139"/>
      <c r="S12" s="139">
        <f t="shared" ref="S12:AV12" si="1">IFERROR(IF(ColorTable="yes",Yellowthreshold/100*S2,""),"")</f>
        <v>0</v>
      </c>
      <c r="T12" s="139">
        <f t="shared" si="1"/>
        <v>0</v>
      </c>
      <c r="U12" s="139">
        <f t="shared" si="1"/>
        <v>0</v>
      </c>
      <c r="V12" s="139">
        <f t="shared" si="1"/>
        <v>0</v>
      </c>
      <c r="W12" s="139">
        <f t="shared" si="1"/>
        <v>0</v>
      </c>
      <c r="X12" s="139">
        <f t="shared" si="1"/>
        <v>0</v>
      </c>
      <c r="Y12" s="139">
        <f t="shared" si="1"/>
        <v>0</v>
      </c>
      <c r="Z12" s="139">
        <f t="shared" si="1"/>
        <v>0</v>
      </c>
      <c r="AA12" s="139">
        <f t="shared" si="1"/>
        <v>0</v>
      </c>
      <c r="AB12" s="139">
        <f t="shared" si="1"/>
        <v>0</v>
      </c>
      <c r="AC12" s="139">
        <f t="shared" si="1"/>
        <v>0</v>
      </c>
      <c r="AD12" s="139">
        <f t="shared" si="1"/>
        <v>0</v>
      </c>
      <c r="AE12" s="139">
        <f t="shared" si="1"/>
        <v>0</v>
      </c>
      <c r="AF12" s="139">
        <f t="shared" si="1"/>
        <v>0</v>
      </c>
      <c r="AG12" s="139">
        <f t="shared" si="1"/>
        <v>0</v>
      </c>
      <c r="AH12" s="139">
        <f t="shared" si="1"/>
        <v>0</v>
      </c>
      <c r="AI12" s="139">
        <f t="shared" si="1"/>
        <v>0</v>
      </c>
      <c r="AJ12" s="139">
        <f t="shared" si="1"/>
        <v>0</v>
      </c>
      <c r="AK12" s="139">
        <f t="shared" si="1"/>
        <v>0</v>
      </c>
      <c r="AL12" s="139">
        <f t="shared" si="1"/>
        <v>0</v>
      </c>
      <c r="AM12" s="139">
        <f t="shared" si="1"/>
        <v>0</v>
      </c>
      <c r="AN12" s="139">
        <f t="shared" si="1"/>
        <v>0</v>
      </c>
      <c r="AO12" s="139">
        <f t="shared" si="1"/>
        <v>0</v>
      </c>
      <c r="AP12" s="139">
        <f t="shared" si="1"/>
        <v>0</v>
      </c>
      <c r="AQ12" s="139">
        <f t="shared" si="1"/>
        <v>0</v>
      </c>
      <c r="AR12" s="139">
        <f t="shared" si="1"/>
        <v>0</v>
      </c>
      <c r="AS12" s="139">
        <f t="shared" si="1"/>
        <v>0</v>
      </c>
      <c r="AT12" s="139">
        <f t="shared" si="1"/>
        <v>0</v>
      </c>
      <c r="AU12" s="139">
        <f t="shared" si="1"/>
        <v>0</v>
      </c>
      <c r="AV12" s="139">
        <f t="shared" si="1"/>
        <v>0</v>
      </c>
      <c r="AW12" s="30"/>
    </row>
    <row r="13" spans="1:49" s="26" customFormat="1" hidden="1" x14ac:dyDescent="0.2">
      <c r="A13" s="143" t="s">
        <v>139</v>
      </c>
      <c r="B13" s="140"/>
      <c r="C13" s="141"/>
      <c r="D13" s="141"/>
      <c r="E13" s="141"/>
      <c r="F13" s="141"/>
      <c r="G13" s="141"/>
      <c r="H13" s="141"/>
      <c r="I13" s="141"/>
      <c r="J13" s="141"/>
      <c r="K13" s="141">
        <f>IFERROR(IF(ColorTable="yes",Yellowthreshold,-100),-100)</f>
        <v>0</v>
      </c>
      <c r="L13" s="141"/>
      <c r="M13" s="141"/>
      <c r="N13" s="141"/>
      <c r="O13" s="141"/>
      <c r="P13" s="141"/>
      <c r="Q13" s="141"/>
      <c r="R13" s="141"/>
      <c r="S13" s="141">
        <f t="shared" ref="S13:AV13" si="2">IFERROR(IF(ColorTable="yes",Yellowthreshold/100*S2,-100),-100)</f>
        <v>0</v>
      </c>
      <c r="T13" s="141">
        <f t="shared" si="2"/>
        <v>0</v>
      </c>
      <c r="U13" s="141">
        <f t="shared" si="2"/>
        <v>0</v>
      </c>
      <c r="V13" s="141">
        <f t="shared" si="2"/>
        <v>0</v>
      </c>
      <c r="W13" s="141">
        <f t="shared" si="2"/>
        <v>0</v>
      </c>
      <c r="X13" s="141">
        <f t="shared" si="2"/>
        <v>0</v>
      </c>
      <c r="Y13" s="141">
        <f t="shared" si="2"/>
        <v>0</v>
      </c>
      <c r="Z13" s="141">
        <f t="shared" si="2"/>
        <v>0</v>
      </c>
      <c r="AA13" s="141">
        <f t="shared" si="2"/>
        <v>0</v>
      </c>
      <c r="AB13" s="141">
        <f t="shared" si="2"/>
        <v>0</v>
      </c>
      <c r="AC13" s="141">
        <f t="shared" si="2"/>
        <v>0</v>
      </c>
      <c r="AD13" s="141">
        <f t="shared" si="2"/>
        <v>0</v>
      </c>
      <c r="AE13" s="141">
        <f t="shared" si="2"/>
        <v>0</v>
      </c>
      <c r="AF13" s="141">
        <f t="shared" si="2"/>
        <v>0</v>
      </c>
      <c r="AG13" s="141">
        <f t="shared" si="2"/>
        <v>0</v>
      </c>
      <c r="AH13" s="141">
        <f t="shared" si="2"/>
        <v>0</v>
      </c>
      <c r="AI13" s="141">
        <f t="shared" si="2"/>
        <v>0</v>
      </c>
      <c r="AJ13" s="141">
        <f t="shared" si="2"/>
        <v>0</v>
      </c>
      <c r="AK13" s="141">
        <f t="shared" si="2"/>
        <v>0</v>
      </c>
      <c r="AL13" s="141">
        <f t="shared" si="2"/>
        <v>0</v>
      </c>
      <c r="AM13" s="141">
        <f t="shared" si="2"/>
        <v>0</v>
      </c>
      <c r="AN13" s="141">
        <f t="shared" si="2"/>
        <v>0</v>
      </c>
      <c r="AO13" s="141">
        <f t="shared" si="2"/>
        <v>0</v>
      </c>
      <c r="AP13" s="141">
        <f t="shared" si="2"/>
        <v>0</v>
      </c>
      <c r="AQ13" s="141">
        <f t="shared" si="2"/>
        <v>0</v>
      </c>
      <c r="AR13" s="141">
        <f t="shared" si="2"/>
        <v>0</v>
      </c>
      <c r="AS13" s="141">
        <f t="shared" si="2"/>
        <v>0</v>
      </c>
      <c r="AT13" s="141">
        <f t="shared" si="2"/>
        <v>0</v>
      </c>
      <c r="AU13" s="141">
        <f t="shared" si="2"/>
        <v>0</v>
      </c>
      <c r="AV13" s="141">
        <f t="shared" si="2"/>
        <v>0</v>
      </c>
      <c r="AW13" s="30"/>
    </row>
    <row r="14" spans="1:49" s="2" customFormat="1" ht="135" customHeight="1" x14ac:dyDescent="0.2">
      <c r="A14" s="56" t="s">
        <v>3</v>
      </c>
      <c r="B14" s="57" t="s">
        <v>4</v>
      </c>
      <c r="C14" s="58" t="s">
        <v>5</v>
      </c>
      <c r="D14" s="58" t="s">
        <v>6</v>
      </c>
      <c r="E14" s="58" t="s">
        <v>7</v>
      </c>
      <c r="F14" s="58" t="s">
        <v>8</v>
      </c>
      <c r="G14" s="58" t="s">
        <v>9</v>
      </c>
      <c r="H14" s="58" t="s">
        <v>76</v>
      </c>
      <c r="I14" s="58" t="s">
        <v>77</v>
      </c>
      <c r="J14" s="58" t="s">
        <v>11</v>
      </c>
      <c r="K14" s="85" t="s">
        <v>78</v>
      </c>
      <c r="L14" s="85" t="s">
        <v>129</v>
      </c>
      <c r="M14" s="84" t="s">
        <v>94</v>
      </c>
      <c r="N14" s="84" t="s">
        <v>95</v>
      </c>
      <c r="O14" s="84" t="s">
        <v>96</v>
      </c>
      <c r="P14" s="84" t="s">
        <v>12</v>
      </c>
      <c r="Q14" s="84" t="s">
        <v>100</v>
      </c>
      <c r="R14" s="84" t="s">
        <v>99</v>
      </c>
      <c r="S14" s="82" t="s">
        <v>89</v>
      </c>
      <c r="T14" s="82" t="s">
        <v>90</v>
      </c>
      <c r="U14" s="82" t="s">
        <v>91</v>
      </c>
      <c r="V14" s="82" t="s">
        <v>92</v>
      </c>
      <c r="W14" s="82" t="s">
        <v>93</v>
      </c>
      <c r="X14" s="82" t="s">
        <v>13</v>
      </c>
      <c r="Y14" s="82" t="s">
        <v>14</v>
      </c>
      <c r="Z14" s="82" t="s">
        <v>15</v>
      </c>
      <c r="AA14" s="82" t="s">
        <v>16</v>
      </c>
      <c r="AB14" s="82" t="s">
        <v>17</v>
      </c>
      <c r="AC14" s="82" t="s">
        <v>18</v>
      </c>
      <c r="AD14" s="82" t="s">
        <v>19</v>
      </c>
      <c r="AE14" s="82" t="s">
        <v>20</v>
      </c>
      <c r="AF14" s="82" t="s">
        <v>21</v>
      </c>
      <c r="AG14" s="82" t="s">
        <v>22</v>
      </c>
      <c r="AH14" s="82" t="s">
        <v>23</v>
      </c>
      <c r="AI14" s="82" t="s">
        <v>24</v>
      </c>
      <c r="AJ14" s="82" t="s">
        <v>25</v>
      </c>
      <c r="AK14" s="82" t="s">
        <v>26</v>
      </c>
      <c r="AL14" s="82" t="s">
        <v>27</v>
      </c>
      <c r="AM14" s="82" t="s">
        <v>28</v>
      </c>
      <c r="AN14" s="82" t="s">
        <v>29</v>
      </c>
      <c r="AO14" s="82" t="s">
        <v>30</v>
      </c>
      <c r="AP14" s="82" t="s">
        <v>31</v>
      </c>
      <c r="AQ14" s="82" t="s">
        <v>32</v>
      </c>
      <c r="AR14" s="82" t="s">
        <v>33</v>
      </c>
      <c r="AS14" s="82" t="s">
        <v>34</v>
      </c>
      <c r="AT14" s="82" t="s">
        <v>35</v>
      </c>
      <c r="AU14" s="82" t="s">
        <v>36</v>
      </c>
      <c r="AV14" s="83" t="s">
        <v>72</v>
      </c>
      <c r="AW14" s="29"/>
    </row>
    <row r="15" spans="1:49" s="2" customFormat="1" x14ac:dyDescent="0.2">
      <c r="A15" s="59">
        <v>1</v>
      </c>
      <c r="B15" s="60" t="s">
        <v>37</v>
      </c>
      <c r="C15" s="61"/>
      <c r="D15" s="61"/>
      <c r="E15" s="61"/>
      <c r="F15" s="61"/>
      <c r="G15" s="61"/>
      <c r="H15" s="61">
        <f>IFERROR(VLOOKUP(Trackerdata[[#This Row],[Name]],AbsentTardyTable[[Student]:[L]],2,FALSE),"No match")</f>
        <v>1</v>
      </c>
      <c r="I15" s="61">
        <f>IFERROR(VLOOKUP(Trackerdata[[#This Row],[Name]],AbsentTardyTable[[Student]:[L]],3,FALSE),"No match")</f>
        <v>0</v>
      </c>
      <c r="J15" s="61"/>
      <c r="K15" s="53">
        <f t="shared" ref="K15:K24" si="3">IFERROR(SUMPRODUCT(PercentageBreakdownCells,$M15:$R15)/SUM(PercentageBreakdownCells),"")</f>
        <v>100</v>
      </c>
      <c r="L15" s="53" t="str">
        <f>VLOOKUP(Trackerdata[[#This Row],[Running Average]],TableOfLetterGrades[],2,TRUE)</f>
        <v>A+</v>
      </c>
      <c r="M15" s="53">
        <f t="shared" ref="M15:M24" si="4">IFERROR(SUMPRODUCT($S15:$AV15,$S$3:$AV$3,--($S15:$AV15&lt;&gt;"Excused"),--($S$1:$AV$1=M$14))/SUMPRODUCT($S$2:$AV$2,$S$3:$AV$3,--($S15:$AV15&lt;&gt;"Excused"),--($S$1:$AV$1=M$14))*100,"")</f>
        <v>100</v>
      </c>
      <c r="N15" s="53">
        <f t="shared" ref="N15:R24" si="5">IFERROR(SUMPRODUCT($S15:$AV15,$S$3:$AV$3,--($S15:$AV15&lt;&gt;"Excused"),--($S$1:$AV$1=N$14))/SUMPRODUCT($S$2:$AV$2,$S$3:$AV$3,--($S15:$AV15&lt;&gt;"Excused"),--($S$1:$AV$1=N$14))*100,"")</f>
        <v>100</v>
      </c>
      <c r="O15" s="53">
        <f t="shared" si="5"/>
        <v>100</v>
      </c>
      <c r="P15" s="53">
        <f t="shared" si="5"/>
        <v>100</v>
      </c>
      <c r="Q15" s="53" t="str">
        <f t="shared" si="5"/>
        <v/>
      </c>
      <c r="R15" s="53" t="str">
        <f t="shared" si="5"/>
        <v/>
      </c>
      <c r="S15" s="61">
        <v>10</v>
      </c>
      <c r="T15" s="61">
        <v>15</v>
      </c>
      <c r="U15" s="61">
        <v>5</v>
      </c>
      <c r="V15" s="61">
        <v>50</v>
      </c>
      <c r="W15" s="61">
        <v>10</v>
      </c>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2"/>
    </row>
    <row r="16" spans="1:49" s="2" customFormat="1" x14ac:dyDescent="0.2">
      <c r="A16" s="59">
        <v>1</v>
      </c>
      <c r="B16" s="60" t="s">
        <v>38</v>
      </c>
      <c r="C16" s="61"/>
      <c r="D16" s="61"/>
      <c r="E16" s="61"/>
      <c r="F16" s="61"/>
      <c r="G16" s="61"/>
      <c r="H16" s="61">
        <f>IFERROR(VLOOKUP(Trackerdata[[#This Row],[Name]],AbsentTardyTable[[Student]:[L]],2,FALSE),"No match")</f>
        <v>0</v>
      </c>
      <c r="I16" s="61">
        <f>IFERROR(VLOOKUP(Trackerdata[[#This Row],[Name]],AbsentTardyTable[[Student]:[L]],3,FALSE),"No match")</f>
        <v>1</v>
      </c>
      <c r="J16" s="61"/>
      <c r="K16" s="53">
        <f t="shared" si="3"/>
        <v>89.733333333333334</v>
      </c>
      <c r="L16" s="53" t="str">
        <f>VLOOKUP(Trackerdata[[#This Row],[Running Average]],TableOfLetterGrades[],2,TRUE)</f>
        <v>B+</v>
      </c>
      <c r="M16" s="53">
        <f t="shared" si="4"/>
        <v>80</v>
      </c>
      <c r="N16" s="53">
        <f t="shared" si="5"/>
        <v>66.666666666666657</v>
      </c>
      <c r="O16" s="53">
        <f t="shared" si="5"/>
        <v>96</v>
      </c>
      <c r="P16" s="53">
        <f t="shared" si="5"/>
        <v>100</v>
      </c>
      <c r="Q16" s="53" t="str">
        <f t="shared" si="5"/>
        <v/>
      </c>
      <c r="R16" s="53" t="str">
        <f t="shared" si="5"/>
        <v/>
      </c>
      <c r="S16" s="61">
        <v>8</v>
      </c>
      <c r="T16" s="61">
        <v>10</v>
      </c>
      <c r="U16" s="61">
        <v>4</v>
      </c>
      <c r="V16" s="61">
        <v>48</v>
      </c>
      <c r="W16" s="61">
        <v>10</v>
      </c>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2"/>
    </row>
    <row r="17" spans="1:48" s="2" customFormat="1" x14ac:dyDescent="0.2">
      <c r="A17" s="59">
        <v>1</v>
      </c>
      <c r="B17" s="60" t="s">
        <v>39</v>
      </c>
      <c r="C17" s="61"/>
      <c r="D17" s="61"/>
      <c r="E17" s="61"/>
      <c r="F17" s="61"/>
      <c r="G17" s="61"/>
      <c r="H17" s="61">
        <f>IFERROR(VLOOKUP(Trackerdata[[#This Row],[Name]],AbsentTardyTable[[Student]:[L]],2,FALSE),"No match")</f>
        <v>2</v>
      </c>
      <c r="I17" s="61">
        <f>IFERROR(VLOOKUP(Trackerdata[[#This Row],[Name]],AbsentTardyTable[[Student]:[L]],3,FALSE),"No match")</f>
        <v>0</v>
      </c>
      <c r="J17" s="61"/>
      <c r="K17" s="53">
        <f t="shared" si="3"/>
        <v>82</v>
      </c>
      <c r="L17" s="53" t="str">
        <f>VLOOKUP(Trackerdata[[#This Row],[Running Average]],TableOfLetterGrades[],2,TRUE)</f>
        <v>B-</v>
      </c>
      <c r="M17" s="53">
        <f t="shared" si="4"/>
        <v>100</v>
      </c>
      <c r="N17" s="53">
        <f t="shared" si="5"/>
        <v>80</v>
      </c>
      <c r="O17" s="53">
        <f t="shared" si="5"/>
        <v>80</v>
      </c>
      <c r="P17" s="53">
        <f t="shared" si="5"/>
        <v>80</v>
      </c>
      <c r="Q17" s="53" t="str">
        <f t="shared" si="5"/>
        <v/>
      </c>
      <c r="R17" s="53" t="str">
        <f t="shared" si="5"/>
        <v/>
      </c>
      <c r="S17" s="61">
        <v>10</v>
      </c>
      <c r="T17" s="61">
        <v>12</v>
      </c>
      <c r="U17" s="61" t="s">
        <v>40</v>
      </c>
      <c r="V17" s="61">
        <v>40</v>
      </c>
      <c r="W17" s="61">
        <v>8</v>
      </c>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2"/>
    </row>
    <row r="18" spans="1:48" s="2" customFormat="1" x14ac:dyDescent="0.2">
      <c r="A18" s="59">
        <v>1</v>
      </c>
      <c r="B18" s="60" t="s">
        <v>41</v>
      </c>
      <c r="C18" s="61"/>
      <c r="D18" s="61"/>
      <c r="E18" s="61"/>
      <c r="F18" s="61"/>
      <c r="G18" s="61"/>
      <c r="H18" s="61">
        <f>IFERROR(VLOOKUP(Trackerdata[[#This Row],[Name]],AbsentTardyTable[[Student]:[L]],2,FALSE),"No match")</f>
        <v>0</v>
      </c>
      <c r="I18" s="61">
        <f>IFERROR(VLOOKUP(Trackerdata[[#This Row],[Name]],AbsentTardyTable[[Student]:[L]],3,FALSE),"No match")</f>
        <v>0</v>
      </c>
      <c r="J18" s="61"/>
      <c r="K18" s="53">
        <f t="shared" si="3"/>
        <v>88.333333333333343</v>
      </c>
      <c r="L18" s="53" t="str">
        <f>VLOOKUP(Trackerdata[[#This Row],[Running Average]],TableOfLetterGrades[],2,TRUE)</f>
        <v>B+</v>
      </c>
      <c r="M18" s="53">
        <f t="shared" si="4"/>
        <v>93.333333333333329</v>
      </c>
      <c r="N18" s="53">
        <f t="shared" si="5"/>
        <v>100</v>
      </c>
      <c r="O18" s="53">
        <f t="shared" si="5"/>
        <v>80</v>
      </c>
      <c r="P18" s="53">
        <f t="shared" si="5"/>
        <v>90</v>
      </c>
      <c r="Q18" s="53" t="str">
        <f t="shared" si="5"/>
        <v/>
      </c>
      <c r="R18" s="53" t="str">
        <f t="shared" si="5"/>
        <v/>
      </c>
      <c r="S18" s="61">
        <v>10</v>
      </c>
      <c r="T18" s="61">
        <v>15</v>
      </c>
      <c r="U18" s="61">
        <v>4</v>
      </c>
      <c r="V18" s="61">
        <v>40</v>
      </c>
      <c r="W18" s="61">
        <v>9</v>
      </c>
      <c r="X18" s="61"/>
      <c r="Y18" s="61"/>
      <c r="Z18" s="61"/>
      <c r="AA18" s="61"/>
      <c r="AB18" s="61"/>
      <c r="AC18" s="61"/>
      <c r="AD18" s="61"/>
      <c r="AE18" s="61"/>
      <c r="AF18" s="61"/>
      <c r="AG18" s="61"/>
      <c r="AH18" s="61"/>
      <c r="AI18" s="61"/>
      <c r="AJ18" s="61"/>
      <c r="AK18" s="61"/>
      <c r="AL18" s="61"/>
      <c r="AM18" s="61"/>
      <c r="AN18" s="61"/>
      <c r="AO18" s="63"/>
      <c r="AP18" s="63"/>
      <c r="AQ18" s="63"/>
      <c r="AR18" s="63"/>
      <c r="AS18" s="63"/>
      <c r="AT18" s="63"/>
      <c r="AU18" s="63"/>
      <c r="AV18" s="64"/>
    </row>
    <row r="19" spans="1:48" s="2" customFormat="1" x14ac:dyDescent="0.2">
      <c r="A19" s="59">
        <v>1</v>
      </c>
      <c r="B19" s="60" t="s">
        <v>42</v>
      </c>
      <c r="C19" s="61"/>
      <c r="D19" s="61"/>
      <c r="E19" s="61"/>
      <c r="F19" s="61"/>
      <c r="G19" s="61"/>
      <c r="H19" s="61">
        <f>IFERROR(VLOOKUP(Trackerdata[[#This Row],[Name]],AbsentTardyTable[[Student]:[L]],2,FALSE),"No match")</f>
        <v>0</v>
      </c>
      <c r="I19" s="61">
        <f>IFERROR(VLOOKUP(Trackerdata[[#This Row],[Name]],AbsentTardyTable[[Student]:[L]],3,FALSE),"No match")</f>
        <v>0</v>
      </c>
      <c r="J19" s="61"/>
      <c r="K19" s="53">
        <f t="shared" si="3"/>
        <v>0</v>
      </c>
      <c r="L19" s="53" t="str">
        <f>VLOOKUP(Trackerdata[[#This Row],[Running Average]],TableOfLetterGrades[],2,TRUE)</f>
        <v>F</v>
      </c>
      <c r="M19" s="53">
        <f t="shared" si="4"/>
        <v>0</v>
      </c>
      <c r="N19" s="53">
        <f t="shared" si="5"/>
        <v>0</v>
      </c>
      <c r="O19" s="53">
        <f t="shared" si="5"/>
        <v>0</v>
      </c>
      <c r="P19" s="53">
        <f t="shared" si="5"/>
        <v>0</v>
      </c>
      <c r="Q19" s="53" t="str">
        <f t="shared" si="5"/>
        <v/>
      </c>
      <c r="R19" s="53" t="str">
        <f t="shared" si="5"/>
        <v/>
      </c>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2"/>
    </row>
    <row r="20" spans="1:48" s="2" customFormat="1" x14ac:dyDescent="0.2">
      <c r="A20" s="59">
        <v>1</v>
      </c>
      <c r="B20" s="60" t="s">
        <v>43</v>
      </c>
      <c r="C20" s="61"/>
      <c r="D20" s="61"/>
      <c r="E20" s="61"/>
      <c r="F20" s="61"/>
      <c r="G20" s="61"/>
      <c r="H20" s="61">
        <f>IFERROR(VLOOKUP(Trackerdata[[#This Row],[Name]],AbsentTardyTable[[Student]:[L]],2,FALSE),"No match")</f>
        <v>0</v>
      </c>
      <c r="I20" s="61">
        <f>IFERROR(VLOOKUP(Trackerdata[[#This Row],[Name]],AbsentTardyTable[[Student]:[L]],3,FALSE),"No match")</f>
        <v>0</v>
      </c>
      <c r="J20" s="61"/>
      <c r="K20" s="53">
        <f t="shared" si="3"/>
        <v>0</v>
      </c>
      <c r="L20" s="53" t="str">
        <f>VLOOKUP(Trackerdata[[#This Row],[Running Average]],TableOfLetterGrades[],2,TRUE)</f>
        <v>F</v>
      </c>
      <c r="M20" s="53">
        <f t="shared" si="4"/>
        <v>0</v>
      </c>
      <c r="N20" s="53">
        <f t="shared" si="5"/>
        <v>0</v>
      </c>
      <c r="O20" s="53">
        <f t="shared" si="5"/>
        <v>0</v>
      </c>
      <c r="P20" s="53">
        <f t="shared" si="5"/>
        <v>0</v>
      </c>
      <c r="Q20" s="53" t="str">
        <f t="shared" si="5"/>
        <v/>
      </c>
      <c r="R20" s="53" t="str">
        <f t="shared" si="5"/>
        <v/>
      </c>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2"/>
    </row>
    <row r="21" spans="1:48" s="2" customFormat="1" x14ac:dyDescent="0.2">
      <c r="A21" s="59">
        <v>1</v>
      </c>
      <c r="B21" s="60" t="s">
        <v>44</v>
      </c>
      <c r="C21" s="61"/>
      <c r="D21" s="61"/>
      <c r="E21" s="61"/>
      <c r="F21" s="61"/>
      <c r="G21" s="61"/>
      <c r="H21" s="61">
        <f>IFERROR(VLOOKUP(Trackerdata[[#This Row],[Name]],AbsentTardyTable[[Student]:[L]],2,FALSE),"No match")</f>
        <v>0</v>
      </c>
      <c r="I21" s="61">
        <f>IFERROR(VLOOKUP(Trackerdata[[#This Row],[Name]],AbsentTardyTable[[Student]:[L]],3,FALSE),"No match")</f>
        <v>0</v>
      </c>
      <c r="J21" s="61"/>
      <c r="K21" s="53">
        <f t="shared" si="3"/>
        <v>0</v>
      </c>
      <c r="L21" s="53" t="str">
        <f>VLOOKUP(Trackerdata[[#This Row],[Running Average]],TableOfLetterGrades[],2,TRUE)</f>
        <v>F</v>
      </c>
      <c r="M21" s="53">
        <f t="shared" si="4"/>
        <v>0</v>
      </c>
      <c r="N21" s="53">
        <f t="shared" si="5"/>
        <v>0</v>
      </c>
      <c r="O21" s="53">
        <f t="shared" si="5"/>
        <v>0</v>
      </c>
      <c r="P21" s="53">
        <f t="shared" si="5"/>
        <v>0</v>
      </c>
      <c r="Q21" s="53" t="str">
        <f t="shared" si="5"/>
        <v/>
      </c>
      <c r="R21" s="53" t="str">
        <f t="shared" si="5"/>
        <v/>
      </c>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2"/>
    </row>
    <row r="22" spans="1:48" s="2" customFormat="1" x14ac:dyDescent="0.2">
      <c r="A22" s="59">
        <v>1</v>
      </c>
      <c r="B22" s="60" t="s">
        <v>45</v>
      </c>
      <c r="C22" s="61"/>
      <c r="D22" s="61"/>
      <c r="E22" s="61"/>
      <c r="F22" s="61"/>
      <c r="G22" s="61"/>
      <c r="H22" s="61">
        <f>IFERROR(VLOOKUP(Trackerdata[[#This Row],[Name]],AbsentTardyTable[[Student]:[L]],2,FALSE),"No match")</f>
        <v>0</v>
      </c>
      <c r="I22" s="61">
        <f>IFERROR(VLOOKUP(Trackerdata[[#This Row],[Name]],AbsentTardyTable[[Student]:[L]],3,FALSE),"No match")</f>
        <v>0</v>
      </c>
      <c r="J22" s="61"/>
      <c r="K22" s="53">
        <f t="shared" si="3"/>
        <v>0</v>
      </c>
      <c r="L22" s="53" t="str">
        <f>VLOOKUP(Trackerdata[[#This Row],[Running Average]],TableOfLetterGrades[],2,TRUE)</f>
        <v>F</v>
      </c>
      <c r="M22" s="53">
        <f t="shared" si="4"/>
        <v>0</v>
      </c>
      <c r="N22" s="53">
        <f t="shared" si="5"/>
        <v>0</v>
      </c>
      <c r="O22" s="53">
        <f t="shared" si="5"/>
        <v>0</v>
      </c>
      <c r="P22" s="53">
        <f t="shared" si="5"/>
        <v>0</v>
      </c>
      <c r="Q22" s="53" t="str">
        <f t="shared" si="5"/>
        <v/>
      </c>
      <c r="R22" s="53" t="str">
        <f t="shared" si="5"/>
        <v/>
      </c>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2"/>
    </row>
    <row r="23" spans="1:48" x14ac:dyDescent="0.2">
      <c r="A23" s="65">
        <v>1</v>
      </c>
      <c r="B23" s="66" t="s">
        <v>46</v>
      </c>
      <c r="C23" s="67"/>
      <c r="D23" s="67"/>
      <c r="E23" s="67"/>
      <c r="F23" s="67"/>
      <c r="G23" s="67"/>
      <c r="H23" s="67">
        <f>IFERROR(VLOOKUP(Trackerdata[[#This Row],[Name]],AbsentTardyTable[[Student]:[L]],2,FALSE),"No match")</f>
        <v>0</v>
      </c>
      <c r="I23" s="67">
        <f>IFERROR(VLOOKUP(Trackerdata[[#This Row],[Name]],AbsentTardyTable[[Student]:[L]],3,FALSE),"No match")</f>
        <v>0</v>
      </c>
      <c r="J23" s="67"/>
      <c r="K23" s="54">
        <f t="shared" si="3"/>
        <v>0</v>
      </c>
      <c r="L23" s="54" t="str">
        <f>VLOOKUP(Trackerdata[[#This Row],[Running Average]],TableOfLetterGrades[],2,TRUE)</f>
        <v>F</v>
      </c>
      <c r="M23" s="54">
        <f t="shared" si="4"/>
        <v>0</v>
      </c>
      <c r="N23" s="54">
        <f t="shared" si="5"/>
        <v>0</v>
      </c>
      <c r="O23" s="54">
        <f t="shared" si="5"/>
        <v>0</v>
      </c>
      <c r="P23" s="54">
        <f t="shared" si="5"/>
        <v>0</v>
      </c>
      <c r="Q23" s="54" t="str">
        <f t="shared" si="5"/>
        <v/>
      </c>
      <c r="R23" s="54" t="str">
        <f t="shared" si="5"/>
        <v/>
      </c>
      <c r="S23" s="68"/>
      <c r="T23" s="68"/>
      <c r="U23" s="67"/>
      <c r="V23" s="67"/>
      <c r="W23" s="68"/>
      <c r="X23" s="68"/>
      <c r="Y23" s="67"/>
      <c r="Z23" s="67"/>
      <c r="AA23" s="68"/>
      <c r="AB23" s="68"/>
      <c r="AC23" s="68"/>
      <c r="AD23" s="68"/>
      <c r="AE23" s="68"/>
      <c r="AF23" s="68"/>
      <c r="AG23" s="68"/>
      <c r="AH23" s="68"/>
      <c r="AI23" s="68"/>
      <c r="AJ23" s="68"/>
      <c r="AK23" s="68"/>
      <c r="AL23" s="68"/>
      <c r="AM23" s="68"/>
      <c r="AN23" s="68"/>
      <c r="AO23" s="68"/>
      <c r="AP23" s="68"/>
      <c r="AQ23" s="68"/>
      <c r="AR23" s="68"/>
      <c r="AS23" s="68"/>
      <c r="AT23" s="68"/>
      <c r="AU23" s="68"/>
      <c r="AV23" s="69"/>
    </row>
    <row r="24" spans="1:48" x14ac:dyDescent="0.2">
      <c r="A24" s="70">
        <v>1</v>
      </c>
      <c r="B24" s="71" t="s">
        <v>47</v>
      </c>
      <c r="C24" s="72"/>
      <c r="D24" s="72"/>
      <c r="E24" s="72"/>
      <c r="F24" s="72"/>
      <c r="G24" s="72"/>
      <c r="H24" s="72">
        <f>IFERROR(VLOOKUP(Trackerdata[[#This Row],[Name]],AbsentTardyTable[[Student]:[L]],2,FALSE),"No match")</f>
        <v>0</v>
      </c>
      <c r="I24" s="72">
        <f>IFERROR(VLOOKUP(Trackerdata[[#This Row],[Name]],AbsentTardyTable[[Student]:[L]],3,FALSE),"No match")</f>
        <v>0</v>
      </c>
      <c r="J24" s="72"/>
      <c r="K24" s="55">
        <f t="shared" si="3"/>
        <v>0</v>
      </c>
      <c r="L24" s="55" t="str">
        <f>VLOOKUP(Trackerdata[[#This Row],[Running Average]],TableOfLetterGrades[],2,TRUE)</f>
        <v>F</v>
      </c>
      <c r="M24" s="55">
        <f t="shared" si="4"/>
        <v>0</v>
      </c>
      <c r="N24" s="55">
        <f t="shared" si="5"/>
        <v>0</v>
      </c>
      <c r="O24" s="55">
        <f t="shared" si="5"/>
        <v>0</v>
      </c>
      <c r="P24" s="55">
        <f t="shared" si="5"/>
        <v>0</v>
      </c>
      <c r="Q24" s="55" t="str">
        <f t="shared" si="5"/>
        <v/>
      </c>
      <c r="R24" s="55" t="str">
        <f t="shared" si="5"/>
        <v/>
      </c>
      <c r="S24" s="73"/>
      <c r="T24" s="73"/>
      <c r="U24" s="72"/>
      <c r="V24" s="72"/>
      <c r="W24" s="73"/>
      <c r="X24" s="73"/>
      <c r="Y24" s="72"/>
      <c r="Z24" s="72"/>
      <c r="AA24" s="73"/>
      <c r="AB24" s="73"/>
      <c r="AC24" s="73"/>
      <c r="AD24" s="73"/>
      <c r="AE24" s="73"/>
      <c r="AF24" s="73"/>
      <c r="AG24" s="73"/>
      <c r="AH24" s="73"/>
      <c r="AI24" s="73"/>
      <c r="AJ24" s="73"/>
      <c r="AK24" s="73"/>
      <c r="AL24" s="73"/>
      <c r="AM24" s="73"/>
      <c r="AN24" s="73"/>
      <c r="AO24" s="73"/>
      <c r="AP24" s="73"/>
      <c r="AQ24" s="73"/>
      <c r="AR24" s="73"/>
      <c r="AS24" s="73"/>
      <c r="AT24" s="73"/>
      <c r="AU24" s="73"/>
      <c r="AV24" s="74"/>
    </row>
    <row r="32" spans="1:48" x14ac:dyDescent="0.2">
      <c r="B32" s="8" t="s">
        <v>130</v>
      </c>
    </row>
  </sheetData>
  <conditionalFormatting sqref="S3:AV3">
    <cfRule type="expression" dxfId="36" priority="28">
      <formula>AND(S$1="",S$2="")</formula>
    </cfRule>
    <cfRule type="expression" dxfId="35" priority="29">
      <formula>IF(AND(S$2&lt;&gt;"",S3=""),1,0)</formula>
    </cfRule>
  </conditionalFormatting>
  <conditionalFormatting sqref="S2:AV2">
    <cfRule type="expression" dxfId="34" priority="23">
      <formula>IF(OR(AND(S$2="",SUM(S$6:S$10)&lt;&gt;0),AND(S$2="",S1&lt;&gt;"")),1,0)</formula>
    </cfRule>
  </conditionalFormatting>
  <conditionalFormatting sqref="S14:AV14">
    <cfRule type="expression" dxfId="33" priority="22">
      <formula>IF(AND(OR(S$1="",S$2="",S$3=""),SUM(S$6:S$10)&lt;&gt;0),1,0)</formula>
    </cfRule>
  </conditionalFormatting>
  <conditionalFormatting sqref="M3">
    <cfRule type="expression" dxfId="32" priority="20">
      <formula>IF(LEFT(M3,7)="Caution",1,0)</formula>
    </cfRule>
  </conditionalFormatting>
  <conditionalFormatting sqref="S1:AV1">
    <cfRule type="expression" dxfId="31" priority="19">
      <formula>IF(AND(S1="",OR(S2&lt;&gt;"",SUM(S15:S24)&lt;&gt;0)),1,0)</formula>
    </cfRule>
  </conditionalFormatting>
  <conditionalFormatting sqref="K15:K24 M15:R24">
    <cfRule type="cellIs" dxfId="30" priority="12" operator="greaterThanOrEqual">
      <formula>$K$11</formula>
    </cfRule>
    <cfRule type="cellIs" dxfId="29" priority="13" operator="greaterThanOrEqual">
      <formula>$K$12</formula>
    </cfRule>
    <cfRule type="cellIs" dxfId="28" priority="14" operator="lessThan">
      <formula>$K$13</formula>
    </cfRule>
  </conditionalFormatting>
  <conditionalFormatting sqref="S15:AV24">
    <cfRule type="cellIs" dxfId="27" priority="6" operator="greaterThanOrEqual">
      <formula>S$11</formula>
    </cfRule>
    <cfRule type="cellIs" dxfId="26" priority="7" operator="greaterThanOrEqual">
      <formula>S$12</formula>
    </cfRule>
    <cfRule type="cellIs" dxfId="25" priority="8" operator="lessThan">
      <formula>S$13</formula>
    </cfRule>
  </conditionalFormatting>
  <conditionalFormatting sqref="K15:AV24">
    <cfRule type="cellIs" dxfId="24" priority="2" stopIfTrue="1" operator="equal">
      <formula>""</formula>
    </cfRule>
  </conditionalFormatting>
  <conditionalFormatting sqref="L15:L24">
    <cfRule type="expression" dxfId="23" priority="3">
      <formula>$K15&gt;=$K$11</formula>
    </cfRule>
    <cfRule type="expression" dxfId="22" priority="4">
      <formula>$K15&gt;=$K$12</formula>
    </cfRule>
    <cfRule type="expression" dxfId="21" priority="5">
      <formula>$K15&lt;$K$13</formula>
    </cfRule>
  </conditionalFormatting>
  <dataValidations xWindow="459" yWindow="679" count="9">
    <dataValidation type="list" errorStyle="information" allowBlank="1" showInputMessage="1" showErrorMessage="1" errorTitle="Use Consistent Names Here" error="You want the assessment type names to be *perfectly* consistent._x000a__x000a_Tip: Use the in-cell dropdown_x000a__x000a_Did you want to customize the assessment types names? _x000a_Then edit the assessment type names starting in cell M11" sqref="S1:AV1" xr:uid="{00000000-0002-0000-0000-000000000000}">
      <formula1>$M$14:$R$14</formula1>
    </dataValidation>
    <dataValidation errorStyle="information" allowBlank="1" showInputMessage="1" showErrorMessage="1" errorTitle="Invalid Category" error="Please enter &quot;Grade&quot;, &quot;Mastery&quot;, or &quot;Helper&quot;._x000a__x000a_These categories help to calculate summary information." sqref="S2:AV2" xr:uid="{00000000-0002-0000-0000-000001000000}"/>
    <dataValidation allowBlank="1" sqref="A15:A24" xr:uid="{00000000-0002-0000-0000-000002000000}"/>
    <dataValidation allowBlank="1" showErrorMessage="1" promptTitle="Assessment Type Percent" prompt="Enter the percent of the running average you want to be from this assessment type (Ex: Homework could be 10%)" sqref="M4:R4" xr:uid="{00000000-0002-0000-0000-000003000000}"/>
    <dataValidation allowBlank="1" showErrorMessage="1" sqref="M3" xr:uid="{00000000-0002-0000-0000-000004000000}"/>
    <dataValidation allowBlank="1" showInputMessage="1" showErrorMessage="1" promptTitle="Averages By Assessment Type" prompt="These cells are not for typing in scores. Instead these are averages calculated from the assignments to the right." sqref="M15:R24" xr:uid="{00000000-0002-0000-0000-000005000000}"/>
    <dataValidation type="custom" errorStyle="information" allowBlank="1" showErrorMessage="1" errorTitle="Hmm" error="These cells were not made to be reference to anything. You can add stuff if you'd like; else just hit cancel. =)" promptTitle="Data Hesre?" prompt="Go ahead and add numbe" sqref="C1:L4" xr:uid="{00000000-0002-0000-0000-000006000000}">
      <formula1>""</formula1>
    </dataValidation>
    <dataValidation allowBlank="1" showInputMessage="1" promptTitle="Editing the letter grade ranges" prompt="You can find this on the Options and Things to Try sheet._x000a_Note: the ranges for the sparklines charts are separate and are hidden in rows 6-10." sqref="L14:L24" xr:uid="{00000000-0002-0000-0000-000007000000}"/>
    <dataValidation allowBlank="1" showInputMessage="1" showErrorMessage="1" promptTitle="Point Multiplier" prompt="Generally leave at 100%, but you can make an assignment effectively worth more points._x000a_For instance, if a student earned 8 out of 10 points, a point multipler of 200% would make it this count as 16 out of 20 points." sqref="S3:AV3" xr:uid="{00000000-0002-0000-0000-000008000000}"/>
  </dataValidations>
  <pageMargins left="0.7" right="0.7" top="0.75" bottom="0.75" header="0.3" footer="0.3"/>
  <pageSetup scale="86" fitToHeight="10" orientation="landscape" r:id="rId1"/>
  <ignoredErrors>
    <ignoredError sqref="M3" formulaRange="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ontainsText" priority="1" stopIfTrue="1" operator="containsText" id="{097A0A8B-DBD4-4FE3-BA0D-423AE3B65F3E}">
            <xm:f>NOT(ISERROR(SEARCH("Excused",S15)))</xm:f>
            <xm:f>"Excused"</xm:f>
            <x14:dxf>
              <fill>
                <patternFill patternType="none">
                  <bgColor auto="1"/>
                </patternFill>
              </fill>
            </x14:dxf>
          </x14:cfRule>
          <xm:sqref>S15:AV24</xm:sqref>
        </x14:conditionalFormatting>
      </x14:conditionalFormattings>
    </ext>
    <ext xmlns:x14="http://schemas.microsoft.com/office/spreadsheetml/2009/9/main" uri="{05C60535-1F16-4fd2-B633-F4F36F0B64E0}">
      <x14:sparklineGroups xmlns:xm="http://schemas.microsoft.com/office/excel/2006/main">
        <x14:sparklineGroup manualMin="0" type="column" displayEmptyCellsAs="gap" displayXAxis="1" displayHidden="1" minAxisType="custom" rightToLeft="1" xr2:uid="{00000000-0003-0000-0000-000000000000}">
          <x14:colorSeries theme="2" tint="-0.499984740745262"/>
          <x14:colorNegative rgb="FFD00000"/>
          <x14:colorAxis rgb="FF000000"/>
          <x14:colorMarkers rgb="FFD00000"/>
          <x14:colorFirst rgb="FFD00000"/>
          <x14:colorLast rgb="FFD00000"/>
          <x14:colorHigh rgb="FFD00000"/>
          <x14:colorLow rgb="FFD00000"/>
          <x14:sparklines>
            <x14:sparkline>
              <xm:f>'Data Entry'!M6:M10</xm:f>
              <xm:sqref>M5</xm:sqref>
            </x14:sparkline>
            <x14:sparkline>
              <xm:f>'Data Entry'!N6:N10</xm:f>
              <xm:sqref>N5</xm:sqref>
            </x14:sparkline>
            <x14:sparkline>
              <xm:f>'Data Entry'!O6:O10</xm:f>
              <xm:sqref>O5</xm:sqref>
            </x14:sparkline>
            <x14:sparkline>
              <xm:f>'Data Entry'!P6:P10</xm:f>
              <xm:sqref>P5</xm:sqref>
            </x14:sparkline>
            <x14:sparkline>
              <xm:f>'Data Entry'!Q6:Q10</xm:f>
              <xm:sqref>Q5</xm:sqref>
            </x14:sparkline>
            <x14:sparkline>
              <xm:f>'Data Entry'!R6:R10</xm:f>
              <xm:sqref>R5</xm:sqref>
            </x14:sparkline>
          </x14:sparklines>
        </x14:sparklineGroup>
        <x14:sparklineGroup manualMin="0" type="column" displayEmptyCellsAs="gap" displayXAxis="1" displayHidden="1" minAxisType="custom" rightToLeft="1" xr2:uid="{00000000-0003-0000-0000-000001000000}">
          <x14:colorSeries theme="9" tint="-0.249977111117893"/>
          <x14:colorNegative rgb="FFD00000"/>
          <x14:colorAxis rgb="FF000000"/>
          <x14:colorMarkers rgb="FFD00000"/>
          <x14:colorFirst rgb="FFD00000"/>
          <x14:colorLast rgb="FFD00000"/>
          <x14:colorHigh rgb="FFD00000"/>
          <x14:colorLow rgb="FFD00000"/>
          <x14:sparklines>
            <x14:sparkline>
              <xm:f>'Data Entry'!S6:S10</xm:f>
              <xm:sqref>S5</xm:sqref>
            </x14:sparkline>
            <x14:sparkline>
              <xm:f>'Data Entry'!T6:T10</xm:f>
              <xm:sqref>T5</xm:sqref>
            </x14:sparkline>
            <x14:sparkline>
              <xm:f>'Data Entry'!U6:U10</xm:f>
              <xm:sqref>U5</xm:sqref>
            </x14:sparkline>
            <x14:sparkline>
              <xm:f>'Data Entry'!V6:V10</xm:f>
              <xm:sqref>V5</xm:sqref>
            </x14:sparkline>
            <x14:sparkline>
              <xm:f>'Data Entry'!W6:W10</xm:f>
              <xm:sqref>W5</xm:sqref>
            </x14:sparkline>
            <x14:sparkline>
              <xm:f>'Data Entry'!X6:X10</xm:f>
              <xm:sqref>X5</xm:sqref>
            </x14:sparkline>
            <x14:sparkline>
              <xm:f>'Data Entry'!Y6:Y10</xm:f>
              <xm:sqref>Y5</xm:sqref>
            </x14:sparkline>
            <x14:sparkline>
              <xm:f>'Data Entry'!Z6:Z10</xm:f>
              <xm:sqref>Z5</xm:sqref>
            </x14:sparkline>
            <x14:sparkline>
              <xm:f>'Data Entry'!AA6:AA10</xm:f>
              <xm:sqref>AA5</xm:sqref>
            </x14:sparkline>
            <x14:sparkline>
              <xm:f>'Data Entry'!AB6:AB10</xm:f>
              <xm:sqref>AB5</xm:sqref>
            </x14:sparkline>
            <x14:sparkline>
              <xm:f>'Data Entry'!AC6:AC10</xm:f>
              <xm:sqref>AC5</xm:sqref>
            </x14:sparkline>
            <x14:sparkline>
              <xm:f>'Data Entry'!AD6:AD10</xm:f>
              <xm:sqref>AD5</xm:sqref>
            </x14:sparkline>
            <x14:sparkline>
              <xm:f>'Data Entry'!AE6:AE10</xm:f>
              <xm:sqref>AE5</xm:sqref>
            </x14:sparkline>
            <x14:sparkline>
              <xm:f>'Data Entry'!AF6:AF10</xm:f>
              <xm:sqref>AF5</xm:sqref>
            </x14:sparkline>
            <x14:sparkline>
              <xm:f>'Data Entry'!AG6:AG10</xm:f>
              <xm:sqref>AG5</xm:sqref>
            </x14:sparkline>
            <x14:sparkline>
              <xm:f>'Data Entry'!AH6:AH10</xm:f>
              <xm:sqref>AH5</xm:sqref>
            </x14:sparkline>
            <x14:sparkline>
              <xm:f>'Data Entry'!AI6:AI10</xm:f>
              <xm:sqref>AI5</xm:sqref>
            </x14:sparkline>
            <x14:sparkline>
              <xm:f>'Data Entry'!AJ6:AJ10</xm:f>
              <xm:sqref>AJ5</xm:sqref>
            </x14:sparkline>
            <x14:sparkline>
              <xm:f>'Data Entry'!AK6:AK10</xm:f>
              <xm:sqref>AK5</xm:sqref>
            </x14:sparkline>
            <x14:sparkline>
              <xm:f>'Data Entry'!AL6:AL10</xm:f>
              <xm:sqref>AL5</xm:sqref>
            </x14:sparkline>
            <x14:sparkline>
              <xm:f>'Data Entry'!AM6:AM10</xm:f>
              <xm:sqref>AM5</xm:sqref>
            </x14:sparkline>
            <x14:sparkline>
              <xm:f>'Data Entry'!AN6:AN10</xm:f>
              <xm:sqref>AN5</xm:sqref>
            </x14:sparkline>
            <x14:sparkline>
              <xm:f>'Data Entry'!AO6:AO10</xm:f>
              <xm:sqref>AO5</xm:sqref>
            </x14:sparkline>
            <x14:sparkline>
              <xm:f>'Data Entry'!AP6:AP10</xm:f>
              <xm:sqref>AP5</xm:sqref>
            </x14:sparkline>
            <x14:sparkline>
              <xm:f>'Data Entry'!AQ6:AQ10</xm:f>
              <xm:sqref>AQ5</xm:sqref>
            </x14:sparkline>
            <x14:sparkline>
              <xm:f>'Data Entry'!AR6:AR10</xm:f>
              <xm:sqref>AR5</xm:sqref>
            </x14:sparkline>
            <x14:sparkline>
              <xm:f>'Data Entry'!AS6:AS10</xm:f>
              <xm:sqref>AS5</xm:sqref>
            </x14:sparkline>
            <x14:sparkline>
              <xm:f>'Data Entry'!AT6:AT10</xm:f>
              <xm:sqref>AT5</xm:sqref>
            </x14:sparkline>
            <x14:sparkline>
              <xm:f>'Data Entry'!AU6:AU10</xm:f>
              <xm:sqref>AU5</xm:sqref>
            </x14:sparkline>
            <x14:sparkline>
              <xm:f>'Data Entry'!AV6:AV10</xm:f>
              <xm:sqref>AV5</xm:sqref>
            </x14:sparkline>
          </x14:sparklines>
        </x14:sparklineGroup>
        <x14:sparklineGroup manualMin="0" type="column" displayEmptyCellsAs="gap" displayXAxis="1" displayHidden="1" minAxisType="custom" rightToLeft="1" xr2:uid="{00000000-0003-0000-0000-000002000000}">
          <x14:colorSeries theme="3" tint="0.39997558519241921"/>
          <x14:colorNegative rgb="FFD00000"/>
          <x14:colorAxis rgb="FF000000"/>
          <x14:colorMarkers rgb="FFD00000"/>
          <x14:colorFirst rgb="FFD00000"/>
          <x14:colorLast rgb="FFD00000"/>
          <x14:colorHigh rgb="FFD00000"/>
          <x14:colorLow rgb="FFD00000"/>
          <x14:sparklines>
            <x14:sparkline>
              <xm:f>'Data Entry'!K6:K10</xm:f>
              <xm:sqref>K5</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D61"/>
  <sheetViews>
    <sheetView zoomScaleNormal="100" workbookViewId="0"/>
  </sheetViews>
  <sheetFormatPr defaultRowHeight="15" x14ac:dyDescent="0.25"/>
  <cols>
    <col min="1" max="1" width="20" bestFit="1" customWidth="1"/>
    <col min="2" max="2" width="9.5703125" customWidth="1"/>
    <col min="3" max="3" width="8.7109375" customWidth="1"/>
    <col min="4" max="4" width="70.28515625" customWidth="1"/>
  </cols>
  <sheetData>
    <row r="1" spans="1:4" ht="23.25" x14ac:dyDescent="0.35">
      <c r="A1" s="9" t="s">
        <v>48</v>
      </c>
      <c r="B1" s="9"/>
      <c r="C1" s="9"/>
      <c r="D1" s="9"/>
    </row>
    <row r="3" spans="1:4" x14ac:dyDescent="0.25">
      <c r="A3" s="17" t="s">
        <v>85</v>
      </c>
      <c r="B3" s="11"/>
      <c r="C3" s="11"/>
      <c r="D3" s="11"/>
    </row>
    <row r="4" spans="1:4" x14ac:dyDescent="0.25">
      <c r="A4" s="156" t="s">
        <v>142</v>
      </c>
      <c r="B4" s="156"/>
      <c r="C4" s="156"/>
      <c r="D4" s="11"/>
    </row>
    <row r="5" spans="1:4" x14ac:dyDescent="0.25">
      <c r="A5" s="156"/>
      <c r="B5" s="156"/>
      <c r="C5" s="156"/>
      <c r="D5" s="11"/>
    </row>
    <row r="6" spans="1:4" x14ac:dyDescent="0.25">
      <c r="A6" s="156"/>
      <c r="B6" s="156"/>
      <c r="C6" s="156"/>
      <c r="D6" s="11"/>
    </row>
    <row r="7" spans="1:4" x14ac:dyDescent="0.25">
      <c r="A7" s="156"/>
      <c r="B7" s="156"/>
      <c r="C7" s="156"/>
      <c r="D7" s="11"/>
    </row>
    <row r="8" spans="1:4" x14ac:dyDescent="0.25">
      <c r="A8" s="156"/>
      <c r="B8" s="156"/>
      <c r="C8" s="156"/>
      <c r="D8" s="11"/>
    </row>
    <row r="9" spans="1:4" x14ac:dyDescent="0.25">
      <c r="A9" s="156"/>
      <c r="B9" s="156"/>
      <c r="C9" s="156"/>
      <c r="D9" s="11"/>
    </row>
    <row r="10" spans="1:4" x14ac:dyDescent="0.25">
      <c r="A10" s="156"/>
      <c r="B10" s="156"/>
      <c r="C10" s="156"/>
      <c r="D10" s="11"/>
    </row>
    <row r="11" spans="1:4" x14ac:dyDescent="0.25">
      <c r="A11" s="156"/>
      <c r="B11" s="156"/>
      <c r="C11" s="156"/>
      <c r="D11" s="11"/>
    </row>
    <row r="12" spans="1:4" x14ac:dyDescent="0.25">
      <c r="A12" s="156"/>
      <c r="B12" s="156"/>
      <c r="C12" s="156"/>
      <c r="D12" s="11"/>
    </row>
    <row r="13" spans="1:4" x14ac:dyDescent="0.25">
      <c r="A13" s="156"/>
      <c r="B13" s="156"/>
      <c r="C13" s="156"/>
      <c r="D13" s="11"/>
    </row>
    <row r="14" spans="1:4" x14ac:dyDescent="0.25">
      <c r="A14" s="156"/>
      <c r="B14" s="156"/>
      <c r="C14" s="156"/>
      <c r="D14" s="11"/>
    </row>
    <row r="15" spans="1:4" x14ac:dyDescent="0.25">
      <c r="A15" s="156"/>
      <c r="B15" s="156"/>
      <c r="C15" s="156"/>
      <c r="D15" s="11"/>
    </row>
    <row r="16" spans="1:4" x14ac:dyDescent="0.25">
      <c r="A16" s="90"/>
      <c r="B16" s="90"/>
      <c r="C16" s="90"/>
      <c r="D16" s="11"/>
    </row>
    <row r="18" spans="1:4" x14ac:dyDescent="0.25">
      <c r="A18" s="17" t="s">
        <v>128</v>
      </c>
      <c r="B18" s="11"/>
      <c r="C18" s="11"/>
      <c r="D18" s="11"/>
    </row>
    <row r="19" spans="1:4" x14ac:dyDescent="0.25">
      <c r="A19" t="s">
        <v>68</v>
      </c>
      <c r="B19" t="s">
        <v>114</v>
      </c>
      <c r="C19" t="s">
        <v>131</v>
      </c>
      <c r="D19" s="157" t="s">
        <v>132</v>
      </c>
    </row>
    <row r="20" spans="1:4" x14ac:dyDescent="0.25">
      <c r="A20">
        <v>0</v>
      </c>
      <c r="B20" t="s">
        <v>124</v>
      </c>
      <c r="C20">
        <f>COUNTIF(Trackerdata[Letter Grade],B20)</f>
        <v>6</v>
      </c>
      <c r="D20" s="158"/>
    </row>
    <row r="21" spans="1:4" x14ac:dyDescent="0.25">
      <c r="A21">
        <v>60</v>
      </c>
      <c r="B21" t="s">
        <v>126</v>
      </c>
      <c r="C21">
        <f>COUNTIF(Trackerdata[Letter Grade],B21)</f>
        <v>0</v>
      </c>
      <c r="D21" s="158"/>
    </row>
    <row r="22" spans="1:4" x14ac:dyDescent="0.25">
      <c r="A22">
        <v>64</v>
      </c>
      <c r="B22" t="s">
        <v>127</v>
      </c>
      <c r="C22">
        <f>COUNTIF(Trackerdata[Letter Grade],B22)</f>
        <v>0</v>
      </c>
      <c r="D22" s="158"/>
    </row>
    <row r="23" spans="1:4" x14ac:dyDescent="0.25">
      <c r="A23">
        <v>67</v>
      </c>
      <c r="B23" t="s">
        <v>125</v>
      </c>
      <c r="C23">
        <f>COUNTIF(Trackerdata[Letter Grade],B23)</f>
        <v>0</v>
      </c>
      <c r="D23" s="158"/>
    </row>
    <row r="24" spans="1:4" ht="14.25" customHeight="1" x14ac:dyDescent="0.25">
      <c r="A24">
        <v>70</v>
      </c>
      <c r="B24" t="s">
        <v>123</v>
      </c>
      <c r="C24">
        <f>COUNTIF(Trackerdata[Letter Grade],B24)</f>
        <v>0</v>
      </c>
      <c r="D24" s="158"/>
    </row>
    <row r="25" spans="1:4" x14ac:dyDescent="0.25">
      <c r="A25">
        <v>73</v>
      </c>
      <c r="B25" t="s">
        <v>121</v>
      </c>
      <c r="C25">
        <f>COUNTIF(Trackerdata[Letter Grade],B25)</f>
        <v>0</v>
      </c>
      <c r="D25" s="158"/>
    </row>
    <row r="26" spans="1:4" x14ac:dyDescent="0.25">
      <c r="A26">
        <v>76</v>
      </c>
      <c r="B26" t="s">
        <v>122</v>
      </c>
      <c r="C26">
        <f>COUNTIF(Trackerdata[Letter Grade],B26)</f>
        <v>0</v>
      </c>
      <c r="D26" s="158"/>
    </row>
    <row r="27" spans="1:4" x14ac:dyDescent="0.25">
      <c r="A27">
        <v>80</v>
      </c>
      <c r="B27" t="s">
        <v>120</v>
      </c>
      <c r="C27">
        <f>COUNTIF(Trackerdata[Letter Grade],B27)</f>
        <v>1</v>
      </c>
      <c r="D27" s="158"/>
    </row>
    <row r="28" spans="1:4" x14ac:dyDescent="0.25">
      <c r="A28">
        <v>83</v>
      </c>
      <c r="B28" t="s">
        <v>118</v>
      </c>
      <c r="C28">
        <f>COUNTIF(Trackerdata[Letter Grade],B28)</f>
        <v>0</v>
      </c>
      <c r="D28" s="158"/>
    </row>
    <row r="29" spans="1:4" x14ac:dyDescent="0.25">
      <c r="A29">
        <v>86</v>
      </c>
      <c r="B29" t="s">
        <v>119</v>
      </c>
      <c r="C29">
        <f>COUNTIF(Trackerdata[Letter Grade],B29)</f>
        <v>2</v>
      </c>
      <c r="D29" s="158"/>
    </row>
    <row r="30" spans="1:4" x14ac:dyDescent="0.25">
      <c r="A30">
        <v>90</v>
      </c>
      <c r="B30" t="s">
        <v>116</v>
      </c>
      <c r="C30">
        <f>COUNTIF(Trackerdata[Letter Grade],B30)</f>
        <v>0</v>
      </c>
      <c r="D30" s="158"/>
    </row>
    <row r="31" spans="1:4" x14ac:dyDescent="0.25">
      <c r="A31">
        <v>94</v>
      </c>
      <c r="B31" t="s">
        <v>117</v>
      </c>
      <c r="C31">
        <f>COUNTIF(Trackerdata[Letter Grade],B31)</f>
        <v>0</v>
      </c>
      <c r="D31" s="158"/>
    </row>
    <row r="32" spans="1:4" x14ac:dyDescent="0.25">
      <c r="A32">
        <v>96</v>
      </c>
      <c r="B32" t="s">
        <v>115</v>
      </c>
      <c r="C32">
        <f>COUNTIF(Trackerdata[Letter Grade],B32)</f>
        <v>1</v>
      </c>
      <c r="D32" s="158"/>
    </row>
    <row r="33" spans="1:4" x14ac:dyDescent="0.25">
      <c r="A33" s="11"/>
      <c r="B33" s="11"/>
      <c r="C33" s="11"/>
      <c r="D33" s="11"/>
    </row>
    <row r="35" spans="1:4" x14ac:dyDescent="0.25">
      <c r="A35" s="10" t="s">
        <v>49</v>
      </c>
      <c r="B35" s="11"/>
      <c r="C35" s="11"/>
      <c r="D35" s="11"/>
    </row>
    <row r="36" spans="1:4" x14ac:dyDescent="0.25">
      <c r="A36" s="11" t="s">
        <v>97</v>
      </c>
      <c r="B36" s="12" t="s">
        <v>50</v>
      </c>
      <c r="C36" s="13">
        <f t="shared" ref="C36" si="0">IF(B36="Yes",1,0)</f>
        <v>1</v>
      </c>
      <c r="D36" s="14" t="str">
        <f>IF(ColorTable="Yes","Use colors inside the table using the following color thresholds","Do not use colors inside the table")</f>
        <v>Use colors inside the table using the following color thresholds</v>
      </c>
    </row>
    <row r="37" spans="1:4" x14ac:dyDescent="0.25">
      <c r="A37" s="11" t="s">
        <v>136</v>
      </c>
      <c r="B37" s="12">
        <v>85</v>
      </c>
      <c r="C37" s="11"/>
      <c r="D37" s="14" t="str">
        <f>CONCATENATE("Color grades ",Greenthreshold,"% or higher green")</f>
        <v>Color grades 85% or higher green</v>
      </c>
    </row>
    <row r="38" spans="1:4" x14ac:dyDescent="0.25">
      <c r="A38" s="11" t="s">
        <v>135</v>
      </c>
      <c r="B38" s="12">
        <v>0</v>
      </c>
      <c r="C38" s="11"/>
      <c r="D38" s="14" t="str">
        <f>CONCATENATE("Color grades ",Yellowthreshold,"%  to ",Greenthreshold,"% yellow, and below ",Yellowthreshold,"% red")</f>
        <v>Color grades 0%  to 85% yellow, and below 0% red</v>
      </c>
    </row>
    <row r="39" spans="1:4" x14ac:dyDescent="0.25">
      <c r="D39" s="15"/>
    </row>
    <row r="40" spans="1:4" x14ac:dyDescent="0.25">
      <c r="D40" s="15"/>
    </row>
    <row r="41" spans="1:4" x14ac:dyDescent="0.25">
      <c r="D41" s="15"/>
    </row>
    <row r="42" spans="1:4" x14ac:dyDescent="0.25">
      <c r="A42" s="10" t="s">
        <v>51</v>
      </c>
      <c r="B42" s="11"/>
      <c r="C42" s="11"/>
      <c r="D42" s="11"/>
    </row>
    <row r="43" spans="1:4" x14ac:dyDescent="0.25">
      <c r="A43" s="11" t="s">
        <v>52</v>
      </c>
      <c r="B43" s="16" t="s">
        <v>98</v>
      </c>
      <c r="C43" s="13">
        <f>IF(B43="Tried It",1,0)</f>
        <v>0</v>
      </c>
      <c r="D43" s="14" t="str">
        <f>IF(B43="Not Yet","Change Excel's main settings to autosave every 3-5 minutes","Perfect! Also remember to backup")</f>
        <v>Change Excel's main settings to autosave every 3-5 minutes</v>
      </c>
    </row>
    <row r="44" spans="1:4" x14ac:dyDescent="0.25">
      <c r="A44" s="11" t="s">
        <v>53</v>
      </c>
      <c r="B44" s="16" t="s">
        <v>98</v>
      </c>
      <c r="C44" s="13">
        <f t="shared" ref="C44:C54" si="1">IF(B44="Tried It",1,0)</f>
        <v>0</v>
      </c>
      <c r="D44" s="14" t="str">
        <f>IF(B44="Not Yet","Click in the table, and under table options in the ribbon, click total row","Perfect! You can add additional 'total rows' using formulas.")</f>
        <v>Click in the table, and under table options in the ribbon, click total row</v>
      </c>
    </row>
    <row r="45" spans="1:4" x14ac:dyDescent="0.25">
      <c r="A45" s="11" t="s">
        <v>54</v>
      </c>
      <c r="B45" s="16" t="s">
        <v>98</v>
      </c>
      <c r="C45" s="13">
        <f t="shared" si="1"/>
        <v>0</v>
      </c>
      <c r="D45" s="14" t="str">
        <f>IF(B45="Not Yet","Click on the plus box above column K","Perfect! Now you can graph data based on subgroups of students")</f>
        <v>Click on the plus box above column K</v>
      </c>
    </row>
    <row r="46" spans="1:4" x14ac:dyDescent="0.25">
      <c r="A46" s="11" t="s">
        <v>55</v>
      </c>
      <c r="B46" s="16" t="s">
        <v>98</v>
      </c>
      <c r="C46" s="13">
        <f t="shared" si="1"/>
        <v>0</v>
      </c>
      <c r="D46" s="14" t="str">
        <f>IF(B46="Not Yet","Click on the dropdown boxes in the header row of the main table","Perfect! Consider sorting by score or filtering by class.")</f>
        <v>Click on the dropdown boxes in the header row of the main table</v>
      </c>
    </row>
    <row r="47" spans="1:4" x14ac:dyDescent="0.25">
      <c r="A47" s="11" t="s">
        <v>101</v>
      </c>
      <c r="B47" s="16" t="s">
        <v>98</v>
      </c>
      <c r="C47" s="13">
        <f t="shared" si="1"/>
        <v>0</v>
      </c>
      <c r="D47" s="14" t="str">
        <f>IF(B47="Not Yet","Helper columns are useful for retakes, notes, and curving grades","Simply weight a column by 0%. To curve: use a formula in an adjacent column")</f>
        <v>Helper columns are useful for retakes, notes, and curving grades</v>
      </c>
    </row>
    <row r="48" spans="1:4" x14ac:dyDescent="0.25">
      <c r="A48" s="11" t="s">
        <v>102</v>
      </c>
      <c r="B48" s="16" t="s">
        <v>98</v>
      </c>
      <c r="C48" s="13">
        <f t="shared" si="1"/>
        <v>0</v>
      </c>
      <c r="D48" s="14" t="str">
        <f>IF(B48="Not Yet","Use zero points and say 100% weight","Perfect! They'll appreciate it")</f>
        <v>Use zero points and say 100% weight</v>
      </c>
    </row>
    <row r="49" spans="1:4" x14ac:dyDescent="0.25">
      <c r="A49" s="11" t="s">
        <v>103</v>
      </c>
      <c r="B49" s="16" t="s">
        <v>98</v>
      </c>
      <c r="C49" s="13">
        <f t="shared" si="1"/>
        <v>0</v>
      </c>
      <c r="D49" s="14" t="str">
        <f>IF(B49="Tried it","*Unhide* the Absences sheet by right clicking on the sheet tabs","This is completely optional, but a hidden sheet is built in")</f>
        <v>This is completely optional, but a hidden sheet is built in</v>
      </c>
    </row>
    <row r="50" spans="1:4" x14ac:dyDescent="0.25">
      <c r="A50" s="11" t="s">
        <v>56</v>
      </c>
      <c r="B50" s="16" t="s">
        <v>98</v>
      </c>
      <c r="C50" s="13">
        <f t="shared" si="1"/>
        <v>0</v>
      </c>
      <c r="D50" s="14" t="str">
        <f>IF(B50="Not Yet","Under Page Layout in the ribbon, change the color scheme","Cool! Hope you like the new colors")</f>
        <v>Under Page Layout in the ribbon, change the color scheme</v>
      </c>
    </row>
    <row r="51" spans="1:4" x14ac:dyDescent="0.25">
      <c r="A51" s="11" t="s">
        <v>73</v>
      </c>
      <c r="B51" s="16" t="s">
        <v>98</v>
      </c>
      <c r="C51" s="13">
        <f t="shared" si="1"/>
        <v>0</v>
      </c>
      <c r="D51" s="14" t="str">
        <f ca="1">IFERROR(IF(INFO("release")&lt;13,"Note: the sparkline graphs only show in Excel 2010 or above",IF(B51="Not Yet","Change the 'sparkline' histogram ranges","Set the grade cutoffs in the table above, then see B6:B10 on the Data Entry sheet")),IF(B51="Not Yet","Change the 'sparkline' histogram ranges","Set the grade cutoffs in the table above, then see B6:B10 on the Data Entry sheet"))</f>
        <v>Change the 'sparkline' histogram ranges</v>
      </c>
    </row>
    <row r="52" spans="1:4" x14ac:dyDescent="0.25">
      <c r="A52" s="11" t="s">
        <v>104</v>
      </c>
      <c r="B52" s="16" t="s">
        <v>98</v>
      </c>
      <c r="C52" s="13">
        <f t="shared" si="1"/>
        <v>0</v>
      </c>
      <c r="D52" s="14" t="str">
        <f>IF(B52="Not Yet","Type Excused or excused in one of the assignment scores","This will excuse this assignment within the assignment type for the student")</f>
        <v>Type Excused or excused in one of the assignment scores</v>
      </c>
    </row>
    <row r="53" spans="1:4" x14ac:dyDescent="0.25">
      <c r="A53" s="11" t="s">
        <v>74</v>
      </c>
      <c r="B53" s="16" t="s">
        <v>98</v>
      </c>
      <c r="C53" s="13">
        <f t="shared" si="1"/>
        <v>0</v>
      </c>
      <c r="D53" s="14" t="str">
        <f>IF(B53="Not Yet","Double click on the ribbon tab title like 'HOME' for the ribbon to hide","Double clicking again brings it back")</f>
        <v>Double click on the ribbon tab title like 'HOME' for the ribbon to hide</v>
      </c>
    </row>
    <row r="54" spans="1:4" x14ac:dyDescent="0.25">
      <c r="A54" s="11" t="s">
        <v>105</v>
      </c>
      <c r="B54" s="16" t="s">
        <v>98</v>
      </c>
      <c r="C54" s="13">
        <f t="shared" si="1"/>
        <v>0</v>
      </c>
      <c r="D54" s="14" t="str">
        <f>IF(B54="Not Yet","If you have another marking period, save a new copy of this gradebook","And remember to back up your gradebooks")</f>
        <v>If you have another marking period, save a new copy of this gradebook</v>
      </c>
    </row>
    <row r="56" spans="1:4" x14ac:dyDescent="0.25">
      <c r="A56" s="17" t="s">
        <v>57</v>
      </c>
      <c r="B56" s="11"/>
      <c r="C56" s="11"/>
      <c r="D56" s="11"/>
    </row>
    <row r="57" spans="1:4" x14ac:dyDescent="0.25">
      <c r="A57" s="11" t="s">
        <v>133</v>
      </c>
      <c r="B57" s="135">
        <v>44059</v>
      </c>
      <c r="C57" s="11"/>
      <c r="D57" s="14" t="s">
        <v>134</v>
      </c>
    </row>
    <row r="58" spans="1:4" x14ac:dyDescent="0.25">
      <c r="A58" s="11" t="s">
        <v>58</v>
      </c>
      <c r="B58" s="18" t="s">
        <v>140</v>
      </c>
      <c r="C58" s="11"/>
      <c r="D58" s="14" t="s">
        <v>141</v>
      </c>
    </row>
    <row r="59" spans="1:4" x14ac:dyDescent="0.25">
      <c r="A59" s="11" t="s">
        <v>86</v>
      </c>
      <c r="B59" s="11"/>
      <c r="C59" s="11"/>
      <c r="D59" s="19" t="s">
        <v>59</v>
      </c>
    </row>
    <row r="60" spans="1:4" x14ac:dyDescent="0.25">
      <c r="A60" s="11" t="s">
        <v>60</v>
      </c>
      <c r="B60" s="20" t="s">
        <v>61</v>
      </c>
      <c r="C60" s="21"/>
      <c r="D60" s="22" t="s">
        <v>82</v>
      </c>
    </row>
    <row r="61" spans="1:4" x14ac:dyDescent="0.25">
      <c r="A61" s="11" t="s">
        <v>87</v>
      </c>
      <c r="B61" s="11"/>
      <c r="C61" s="11"/>
      <c r="D61" s="14" t="s">
        <v>88</v>
      </c>
    </row>
  </sheetData>
  <mergeCells count="2">
    <mergeCell ref="A4:C15"/>
    <mergeCell ref="D19:D32"/>
  </mergeCells>
  <conditionalFormatting sqref="C36">
    <cfRule type="iconSet" priority="7">
      <iconSet iconSet="4TrafficLights" showValue="0">
        <cfvo type="percent" val="0"/>
        <cfvo type="num" val="0.2" gte="0"/>
        <cfvo type="num" val="0.3"/>
        <cfvo type="num" val="1"/>
      </iconSet>
    </cfRule>
  </conditionalFormatting>
  <conditionalFormatting sqref="C43:C54">
    <cfRule type="iconSet" priority="2">
      <iconSet iconSet="3Symbols2" showValue="0">
        <cfvo type="percent" val="0"/>
        <cfvo type="num" val="0.3"/>
        <cfvo type="num" val="0.5"/>
      </iconSet>
    </cfRule>
    <cfRule type="iconSet" priority="3">
      <iconSet iconSet="4TrafficLights" showValue="0">
        <cfvo type="percent" val="0"/>
        <cfvo type="num" val="0.2" gte="0"/>
        <cfvo type="num" val="0.3"/>
        <cfvo type="num" val="1"/>
      </iconSet>
    </cfRule>
  </conditionalFormatting>
  <dataValidations count="2">
    <dataValidation type="list" allowBlank="1" sqref="B36" xr:uid="{00000000-0002-0000-0100-000000000000}">
      <formula1>"Yes,No"</formula1>
    </dataValidation>
    <dataValidation type="list" allowBlank="1" sqref="B43:B54" xr:uid="{00000000-0002-0000-0100-000001000000}">
      <formula1>"Tried It,Not Yet"</formula1>
    </dataValidation>
  </dataValidations>
  <hyperlinks>
    <hyperlink ref="D59" r:id="rId1" xr:uid="{00000000-0004-0000-0100-000000000000}"/>
  </hyperlinks>
  <pageMargins left="0.7" right="0.7" top="0.75" bottom="0.75" header="0.3" footer="0.3"/>
  <pageSetup orientation="portrait" horizontalDpi="4294967293" verticalDpi="0" r:id="rId2"/>
  <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3:B5"/>
  <sheetViews>
    <sheetView workbookViewId="0">
      <selection activeCell="A4" sqref="A4"/>
    </sheetView>
  </sheetViews>
  <sheetFormatPr defaultRowHeight="15" x14ac:dyDescent="0.25"/>
  <cols>
    <col min="1" max="1" width="13.140625" bestFit="1" customWidth="1"/>
    <col min="2" max="2" width="26.5703125" bestFit="1" customWidth="1"/>
  </cols>
  <sheetData>
    <row r="3" spans="1:2" x14ac:dyDescent="0.25">
      <c r="A3" s="23" t="s">
        <v>62</v>
      </c>
      <c r="B3" t="s">
        <v>79</v>
      </c>
    </row>
    <row r="4" spans="1:2" x14ac:dyDescent="0.25">
      <c r="A4" s="24">
        <v>1</v>
      </c>
      <c r="B4" s="25">
        <v>36.006666666666675</v>
      </c>
    </row>
    <row r="5" spans="1:2" x14ac:dyDescent="0.25">
      <c r="A5" s="24" t="s">
        <v>63</v>
      </c>
      <c r="B5" s="25">
        <v>36.006666666666675</v>
      </c>
    </row>
  </sheetData>
  <pageMargins left="0.7" right="0.7" top="0.75" bottom="0.75" header="0.3" footer="0.3"/>
  <pageSetup orientation="portrait" horizontalDpi="4294967293" verticalDpi="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A1:Q38"/>
  <sheetViews>
    <sheetView workbookViewId="0">
      <selection activeCell="C3" sqref="C3"/>
    </sheetView>
  </sheetViews>
  <sheetFormatPr defaultRowHeight="15" outlineLevelRow="1" x14ac:dyDescent="0.25"/>
  <cols>
    <col min="1" max="2" width="3" customWidth="1"/>
    <col min="3" max="3" width="11.5703125" bestFit="1" customWidth="1"/>
    <col min="6" max="6" width="9.7109375" bestFit="1" customWidth="1"/>
    <col min="7" max="7" width="22.7109375" customWidth="1"/>
    <col min="8" max="46" width="22.85546875" customWidth="1"/>
  </cols>
  <sheetData>
    <row r="1" spans="1:17" x14ac:dyDescent="0.25">
      <c r="A1" s="88"/>
      <c r="B1" s="88"/>
      <c r="C1" s="88"/>
      <c r="D1" s="88"/>
      <c r="E1" s="88"/>
      <c r="F1" s="88"/>
      <c r="G1" s="88"/>
      <c r="H1" s="88"/>
      <c r="I1" s="88"/>
      <c r="J1" s="88"/>
      <c r="K1" s="88"/>
      <c r="L1" s="88"/>
      <c r="M1" s="88"/>
      <c r="N1" s="88"/>
      <c r="O1" s="88"/>
      <c r="P1" s="88"/>
      <c r="Q1" s="88"/>
    </row>
    <row r="2" spans="1:17" ht="19.5" x14ac:dyDescent="0.25">
      <c r="A2" s="88"/>
      <c r="B2" s="88"/>
      <c r="C2" s="87" t="s">
        <v>64</v>
      </c>
      <c r="D2" s="89"/>
      <c r="E2" s="89"/>
      <c r="F2" s="89"/>
      <c r="G2" s="89"/>
      <c r="H2" s="89"/>
      <c r="I2" s="89"/>
      <c r="J2" s="89"/>
      <c r="K2" s="89"/>
      <c r="L2" s="89"/>
      <c r="M2" s="89"/>
      <c r="N2" s="89"/>
      <c r="O2" s="89"/>
      <c r="P2" s="89"/>
      <c r="Q2" s="89"/>
    </row>
    <row r="3" spans="1:17" ht="18.75" x14ac:dyDescent="0.3">
      <c r="A3" s="88"/>
      <c r="B3" s="88"/>
      <c r="C3" s="112" t="s">
        <v>65</v>
      </c>
      <c r="D3" s="88"/>
      <c r="E3" s="88"/>
      <c r="F3" s="88"/>
      <c r="G3" s="88"/>
      <c r="H3" s="88"/>
      <c r="I3" s="88"/>
      <c r="J3" s="88"/>
      <c r="K3" s="88"/>
      <c r="L3" s="88"/>
      <c r="M3" s="88"/>
      <c r="N3" s="88"/>
      <c r="O3" s="88"/>
      <c r="P3" s="88"/>
      <c r="Q3" s="88"/>
    </row>
    <row r="4" spans="1:17" x14ac:dyDescent="0.25">
      <c r="A4" s="88"/>
      <c r="B4" s="88"/>
      <c r="C4" s="113" t="s">
        <v>66</v>
      </c>
      <c r="D4" s="88"/>
      <c r="E4" s="88"/>
      <c r="F4" s="88"/>
      <c r="G4" s="88"/>
      <c r="H4" s="88"/>
      <c r="I4" s="88"/>
      <c r="J4" s="88"/>
      <c r="K4" s="88"/>
      <c r="L4" s="88"/>
      <c r="M4" s="88"/>
      <c r="N4" s="88"/>
      <c r="O4" s="88"/>
      <c r="P4" s="88"/>
      <c r="Q4" s="88"/>
    </row>
    <row r="5" spans="1:17" x14ac:dyDescent="0.25">
      <c r="A5" s="88"/>
      <c r="B5" s="88"/>
      <c r="C5" s="114" t="s">
        <v>67</v>
      </c>
      <c r="D5" s="88"/>
      <c r="E5" s="88"/>
      <c r="F5" s="88"/>
      <c r="G5" s="88"/>
      <c r="H5" s="88"/>
      <c r="I5" s="88"/>
      <c r="J5" s="88"/>
      <c r="K5" s="88"/>
      <c r="L5" s="88"/>
      <c r="M5" s="88"/>
      <c r="N5" s="88"/>
      <c r="O5" s="88"/>
      <c r="P5" s="88"/>
      <c r="Q5" s="88"/>
    </row>
    <row r="6" spans="1:17" x14ac:dyDescent="0.25">
      <c r="A6" s="88"/>
      <c r="B6" s="88"/>
      <c r="C6" s="114" t="str">
        <f ca="1">CONCATENATE("Date: ",TEXT(TODAY(),"dd-mmm-yyyy"))</f>
        <v>Date: 16-Aug-2020</v>
      </c>
      <c r="D6" s="88"/>
      <c r="E6" s="88"/>
      <c r="F6" s="88"/>
      <c r="G6" s="88"/>
      <c r="H6" s="88"/>
      <c r="I6" s="88"/>
      <c r="J6" s="88"/>
      <c r="K6" s="88"/>
      <c r="L6" s="88"/>
      <c r="M6" s="88"/>
      <c r="N6" s="88"/>
      <c r="O6" s="88"/>
      <c r="P6" s="88"/>
      <c r="Q6" s="88"/>
    </row>
    <row r="7" spans="1:17" x14ac:dyDescent="0.25">
      <c r="A7" s="88"/>
      <c r="B7" s="88"/>
      <c r="C7" s="88"/>
      <c r="D7" s="88"/>
      <c r="E7" s="88"/>
      <c r="F7" s="88"/>
      <c r="G7" s="88"/>
      <c r="H7" s="88"/>
      <c r="I7" s="88"/>
      <c r="J7" s="88"/>
      <c r="K7" s="88"/>
      <c r="L7" s="88"/>
      <c r="M7" s="88"/>
      <c r="N7" s="88"/>
      <c r="O7" s="88"/>
      <c r="P7" s="88"/>
      <c r="Q7" s="88"/>
    </row>
    <row r="8" spans="1:17" x14ac:dyDescent="0.25">
      <c r="A8" s="88"/>
      <c r="B8" s="88"/>
      <c r="C8" s="115" t="s">
        <v>107</v>
      </c>
      <c r="D8" s="88"/>
      <c r="E8" s="88"/>
      <c r="F8" s="88"/>
      <c r="G8" s="88"/>
      <c r="H8" s="88"/>
      <c r="I8" s="88"/>
      <c r="J8" s="88"/>
      <c r="K8" s="88"/>
      <c r="L8" s="88"/>
      <c r="M8" s="88"/>
      <c r="N8" s="88"/>
      <c r="O8" s="88"/>
      <c r="P8" s="88"/>
      <c r="Q8" s="88"/>
    </row>
    <row r="9" spans="1:17" ht="30" customHeight="1" x14ac:dyDescent="0.25">
      <c r="A9" s="88"/>
      <c r="B9" s="88"/>
      <c r="C9" s="159"/>
      <c r="D9" s="159"/>
      <c r="E9" s="159"/>
      <c r="F9" s="159"/>
      <c r="G9" s="159"/>
      <c r="H9" s="88"/>
      <c r="I9" s="88"/>
      <c r="J9" s="88"/>
      <c r="K9" s="88"/>
      <c r="L9" s="88"/>
      <c r="M9" s="88"/>
      <c r="N9" s="88"/>
      <c r="O9" s="88"/>
      <c r="P9" s="88"/>
      <c r="Q9" s="88"/>
    </row>
    <row r="10" spans="1:17" x14ac:dyDescent="0.25">
      <c r="A10" s="88"/>
      <c r="B10" s="88"/>
      <c r="C10" s="88"/>
      <c r="D10" s="88"/>
      <c r="E10" s="88"/>
      <c r="F10" s="88"/>
      <c r="G10" s="88"/>
      <c r="H10" s="88"/>
      <c r="I10" s="88"/>
      <c r="J10" s="88"/>
      <c r="K10" s="88"/>
      <c r="L10" s="88"/>
      <c r="M10" s="88"/>
      <c r="N10" s="88"/>
      <c r="O10" s="88"/>
      <c r="P10" s="88"/>
      <c r="Q10" s="88"/>
    </row>
    <row r="11" spans="1:17" x14ac:dyDescent="0.25">
      <c r="A11" s="88"/>
      <c r="B11" s="88"/>
      <c r="C11" s="115" t="s">
        <v>110</v>
      </c>
      <c r="D11" s="88"/>
      <c r="E11" s="88"/>
      <c r="F11" s="88"/>
      <c r="G11" s="88"/>
      <c r="H11" s="88"/>
      <c r="I11" s="88"/>
      <c r="J11" s="88"/>
      <c r="K11" s="88"/>
      <c r="L11" s="88"/>
      <c r="M11" s="88"/>
      <c r="N11" s="88"/>
      <c r="O11" s="88"/>
      <c r="P11" s="88"/>
      <c r="Q11" s="88"/>
    </row>
    <row r="12" spans="1:17" ht="30" customHeight="1" x14ac:dyDescent="0.25">
      <c r="A12" s="88"/>
      <c r="B12" s="88"/>
      <c r="C12" s="159"/>
      <c r="D12" s="159"/>
      <c r="E12" s="159"/>
      <c r="F12" s="159"/>
      <c r="G12" s="159"/>
      <c r="H12" s="88"/>
      <c r="I12" s="88"/>
      <c r="J12" s="88"/>
      <c r="K12" s="88"/>
      <c r="L12" s="88"/>
      <c r="M12" s="88"/>
      <c r="N12" s="88"/>
      <c r="O12" s="88"/>
      <c r="P12" s="88"/>
      <c r="Q12" s="88"/>
    </row>
    <row r="13" spans="1:17" x14ac:dyDescent="0.25">
      <c r="A13" s="88"/>
      <c r="B13" s="88"/>
      <c r="C13" s="88"/>
      <c r="D13" s="88"/>
      <c r="E13" s="88"/>
      <c r="F13" s="88"/>
      <c r="G13" s="88"/>
      <c r="H13" s="88"/>
      <c r="I13" s="88"/>
      <c r="J13" s="88"/>
      <c r="K13" s="88"/>
      <c r="L13" s="88"/>
      <c r="M13" s="88"/>
      <c r="N13" s="88"/>
      <c r="O13" s="88"/>
      <c r="P13" s="88"/>
      <c r="Q13" s="88"/>
    </row>
    <row r="14" spans="1:17" x14ac:dyDescent="0.25">
      <c r="A14" s="88"/>
      <c r="B14" s="88"/>
      <c r="C14" s="88"/>
      <c r="D14" s="88"/>
      <c r="E14" s="88"/>
      <c r="F14" s="88"/>
      <c r="G14" s="88"/>
      <c r="H14" s="88"/>
      <c r="I14" s="88"/>
      <c r="J14" s="88"/>
      <c r="K14" s="88"/>
      <c r="L14" s="88"/>
      <c r="M14" s="88"/>
      <c r="N14" s="88"/>
      <c r="O14" s="88"/>
      <c r="P14" s="88"/>
      <c r="Q14" s="88"/>
    </row>
    <row r="15" spans="1:17" ht="15.75" outlineLevel="1" thickBot="1" x14ac:dyDescent="0.3">
      <c r="A15" s="88"/>
      <c r="B15" s="88"/>
      <c r="C15" s="105">
        <v>0</v>
      </c>
      <c r="D15" s="105">
        <v>1</v>
      </c>
      <c r="E15" s="105">
        <v>2</v>
      </c>
      <c r="F15" s="105">
        <v>3</v>
      </c>
      <c r="G15" s="105">
        <v>13</v>
      </c>
      <c r="H15" s="105">
        <f>G15+1</f>
        <v>14</v>
      </c>
      <c r="I15" s="105">
        <f>H15+1</f>
        <v>15</v>
      </c>
      <c r="J15" s="105">
        <f t="shared" ref="J15:Q15" si="0">I15+1</f>
        <v>16</v>
      </c>
      <c r="K15" s="105">
        <f t="shared" si="0"/>
        <v>17</v>
      </c>
      <c r="L15" s="105">
        <f t="shared" si="0"/>
        <v>18</v>
      </c>
      <c r="M15" s="105">
        <f t="shared" si="0"/>
        <v>19</v>
      </c>
      <c r="N15" s="105">
        <f t="shared" si="0"/>
        <v>20</v>
      </c>
      <c r="O15" s="105">
        <f t="shared" si="0"/>
        <v>21</v>
      </c>
      <c r="P15" s="105">
        <f t="shared" si="0"/>
        <v>22</v>
      </c>
      <c r="Q15" s="105">
        <f t="shared" si="0"/>
        <v>23</v>
      </c>
    </row>
    <row r="16" spans="1:17" x14ac:dyDescent="0.25">
      <c r="B16">
        <v>1</v>
      </c>
      <c r="C16" s="166" t="s">
        <v>70</v>
      </c>
      <c r="D16" s="167"/>
      <c r="E16" s="167"/>
      <c r="F16" s="167"/>
      <c r="G16" s="167"/>
      <c r="H16" s="133" t="str">
        <f ca="1">OFFSET('Data Entry'!$A$1,Printouts!H$15,Printouts!$B16)</f>
        <v>Student 1</v>
      </c>
      <c r="I16" s="133" t="str">
        <f ca="1">OFFSET('Data Entry'!$A$1,Printouts!I$15,Printouts!$B16)</f>
        <v>Student 2</v>
      </c>
      <c r="J16" s="133" t="str">
        <f ca="1">OFFSET('Data Entry'!$A$1,Printouts!J$15,Printouts!$B16)</f>
        <v>Student 3</v>
      </c>
      <c r="K16" s="133" t="str">
        <f ca="1">OFFSET('Data Entry'!$A$1,Printouts!K$15,Printouts!$B16)</f>
        <v>Student 4</v>
      </c>
      <c r="L16" s="133" t="str">
        <f ca="1">OFFSET('Data Entry'!$A$1,Printouts!L$15,Printouts!$B16)</f>
        <v>Student 5</v>
      </c>
      <c r="M16" s="133" t="str">
        <f ca="1">OFFSET('Data Entry'!$A$1,Printouts!M$15,Printouts!$B16)</f>
        <v>Student 6</v>
      </c>
      <c r="N16" s="133" t="str">
        <f ca="1">OFFSET('Data Entry'!$A$1,Printouts!N$15,Printouts!$B16)</f>
        <v>Student 7</v>
      </c>
      <c r="O16" s="133" t="str">
        <f ca="1">OFFSET('Data Entry'!$A$1,Printouts!O$15,Printouts!$B16)</f>
        <v>Student 8</v>
      </c>
      <c r="P16" s="133" t="str">
        <f ca="1">OFFSET('Data Entry'!$A$1,Printouts!P$15,Printouts!$B16)</f>
        <v>Student 9</v>
      </c>
      <c r="Q16" s="133" t="str">
        <f ca="1">OFFSET('Data Entry'!$A$1,Printouts!Q$15,Printouts!$B16)</f>
        <v>Student 10</v>
      </c>
    </row>
    <row r="17" spans="2:17" hidden="1" x14ac:dyDescent="0.25">
      <c r="B17">
        <v>7</v>
      </c>
      <c r="C17" s="108" t="str">
        <f ca="1">OFFSET('Data Entry'!$A$1,Printouts!G$15,Printouts!$B17)</f>
        <v>Absent</v>
      </c>
      <c r="D17" s="109"/>
      <c r="E17" s="109"/>
      <c r="F17" s="116"/>
      <c r="G17" s="116"/>
      <c r="H17" s="126">
        <f ca="1">OFFSET('Data Entry'!$A$1,Printouts!H$15,Printouts!$B17)</f>
        <v>1</v>
      </c>
      <c r="I17" s="126">
        <f ca="1">OFFSET('Data Entry'!$A$1,Printouts!I$15,Printouts!$B17)</f>
        <v>0</v>
      </c>
      <c r="J17" s="126">
        <f ca="1">OFFSET('Data Entry'!$A$1,Printouts!J$15,Printouts!$B17)</f>
        <v>2</v>
      </c>
      <c r="K17" s="126">
        <f ca="1">OFFSET('Data Entry'!$A$1,Printouts!K$15,Printouts!$B17)</f>
        <v>0</v>
      </c>
      <c r="L17" s="126">
        <f ca="1">OFFSET('Data Entry'!$A$1,Printouts!L$15,Printouts!$B17)</f>
        <v>0</v>
      </c>
      <c r="M17" s="126">
        <f ca="1">OFFSET('Data Entry'!$A$1,Printouts!M$15,Printouts!$B17)</f>
        <v>0</v>
      </c>
      <c r="N17" s="126">
        <f ca="1">OFFSET('Data Entry'!$A$1,Printouts!N$15,Printouts!$B17)</f>
        <v>0</v>
      </c>
      <c r="O17" s="126">
        <f ca="1">OFFSET('Data Entry'!$A$1,Printouts!O$15,Printouts!$B17)</f>
        <v>0</v>
      </c>
      <c r="P17" s="126">
        <f ca="1">OFFSET('Data Entry'!$A$1,Printouts!P$15,Printouts!$B17)</f>
        <v>0</v>
      </c>
      <c r="Q17" s="106">
        <f ca="1">OFFSET('Data Entry'!$A$1,Printouts!Q$15,Printouts!$B17)</f>
        <v>0</v>
      </c>
    </row>
    <row r="18" spans="2:17" hidden="1" x14ac:dyDescent="0.25">
      <c r="B18">
        <v>8</v>
      </c>
      <c r="C18" s="110" t="str">
        <f ca="1">OFFSET('Data Entry'!$A$1,Printouts!G$15,Printouts!$B18)</f>
        <v>Late</v>
      </c>
      <c r="D18" s="111"/>
      <c r="E18" s="111"/>
      <c r="F18" s="116"/>
      <c r="G18" s="116"/>
      <c r="H18" s="127">
        <f ca="1">OFFSET('Data Entry'!$A$1,Printouts!H$15,Printouts!$B18)</f>
        <v>0</v>
      </c>
      <c r="I18" s="127">
        <f ca="1">OFFSET('Data Entry'!$A$1,Printouts!I$15,Printouts!$B18)</f>
        <v>1</v>
      </c>
      <c r="J18" s="127">
        <f ca="1">OFFSET('Data Entry'!$A$1,Printouts!J$15,Printouts!$B18)</f>
        <v>0</v>
      </c>
      <c r="K18" s="127">
        <f ca="1">OFFSET('Data Entry'!$A$1,Printouts!K$15,Printouts!$B18)</f>
        <v>0</v>
      </c>
      <c r="L18" s="127">
        <f ca="1">OFFSET('Data Entry'!$A$1,Printouts!L$15,Printouts!$B18)</f>
        <v>0</v>
      </c>
      <c r="M18" s="127">
        <f ca="1">OFFSET('Data Entry'!$A$1,Printouts!M$15,Printouts!$B18)</f>
        <v>0</v>
      </c>
      <c r="N18" s="127">
        <f ca="1">OFFSET('Data Entry'!$A$1,Printouts!N$15,Printouts!$B18)</f>
        <v>0</v>
      </c>
      <c r="O18" s="127">
        <f ca="1">OFFSET('Data Entry'!$A$1,Printouts!O$15,Printouts!$B18)</f>
        <v>0</v>
      </c>
      <c r="P18" s="127">
        <f ca="1">OFFSET('Data Entry'!$A$1,Printouts!P$15,Printouts!$B18)</f>
        <v>0</v>
      </c>
      <c r="Q18" s="107">
        <f ca="1">OFFSET('Data Entry'!$A$1,Printouts!Q$15,Printouts!$B18)</f>
        <v>0</v>
      </c>
    </row>
    <row r="19" spans="2:17" x14ac:dyDescent="0.25">
      <c r="B19">
        <v>10</v>
      </c>
      <c r="C19" s="168" t="str">
        <f ca="1">OFFSET('Data Entry'!$A$1,Printouts!G$15,Printouts!$B19)</f>
        <v>Running Average</v>
      </c>
      <c r="D19" s="169"/>
      <c r="E19" s="169"/>
      <c r="F19" s="169"/>
      <c r="G19" s="169"/>
      <c r="H19" s="131">
        <f ca="1">OFFSET('Data Entry'!$A$1,Printouts!H$15,Printouts!$B19)</f>
        <v>100</v>
      </c>
      <c r="I19" s="131">
        <f ca="1">OFFSET('Data Entry'!$A$1,Printouts!I$15,Printouts!$B19)</f>
        <v>89.733333333333334</v>
      </c>
      <c r="J19" s="131">
        <f ca="1">OFFSET('Data Entry'!$A$1,Printouts!J$15,Printouts!$B19)</f>
        <v>82</v>
      </c>
      <c r="K19" s="131">
        <f ca="1">OFFSET('Data Entry'!$A$1,Printouts!K$15,Printouts!$B19)</f>
        <v>88.333333333333343</v>
      </c>
      <c r="L19" s="131">
        <f ca="1">OFFSET('Data Entry'!$A$1,Printouts!L$15,Printouts!$B19)</f>
        <v>0</v>
      </c>
      <c r="M19" s="131">
        <f ca="1">OFFSET('Data Entry'!$A$1,Printouts!M$15,Printouts!$B19)</f>
        <v>0</v>
      </c>
      <c r="N19" s="131">
        <f ca="1">OFFSET('Data Entry'!$A$1,Printouts!N$15,Printouts!$B19)</f>
        <v>0</v>
      </c>
      <c r="O19" s="131">
        <f ca="1">OFFSET('Data Entry'!$A$1,Printouts!O$15,Printouts!$B19)</f>
        <v>0</v>
      </c>
      <c r="P19" s="131">
        <f ca="1">OFFSET('Data Entry'!$A$1,Printouts!P$15,Printouts!$B19)</f>
        <v>0</v>
      </c>
      <c r="Q19" s="131">
        <f ca="1">OFFSET('Data Entry'!$A$1,Printouts!Q$15,Printouts!$B19)</f>
        <v>0</v>
      </c>
    </row>
    <row r="20" spans="2:17" ht="15.75" thickBot="1" x14ac:dyDescent="0.3">
      <c r="B20">
        <v>11</v>
      </c>
      <c r="C20" s="130" t="s">
        <v>129</v>
      </c>
      <c r="D20" s="129"/>
      <c r="E20" s="129"/>
      <c r="F20" s="129"/>
      <c r="G20" s="128"/>
      <c r="H20" s="132" t="str">
        <f ca="1">OFFSET('Data Entry'!$A$1,Printouts!H$15,Printouts!$B20)</f>
        <v>A+</v>
      </c>
      <c r="I20" s="132" t="str">
        <f ca="1">OFFSET('Data Entry'!$A$1,Printouts!I$15,Printouts!$B20)</f>
        <v>B+</v>
      </c>
      <c r="J20" s="132" t="str">
        <f ca="1">OFFSET('Data Entry'!$A$1,Printouts!J$15,Printouts!$B20)</f>
        <v>B-</v>
      </c>
      <c r="K20" s="132" t="str">
        <f ca="1">OFFSET('Data Entry'!$A$1,Printouts!K$15,Printouts!$B20)</f>
        <v>B+</v>
      </c>
      <c r="L20" s="132" t="str">
        <f ca="1">OFFSET('Data Entry'!$A$1,Printouts!L$15,Printouts!$B20)</f>
        <v>F</v>
      </c>
      <c r="M20" s="132" t="str">
        <f ca="1">OFFSET('Data Entry'!$A$1,Printouts!M$15,Printouts!$B20)</f>
        <v>F</v>
      </c>
      <c r="N20" s="132" t="str">
        <f ca="1">OFFSET('Data Entry'!$A$1,Printouts!N$15,Printouts!$B20)</f>
        <v>F</v>
      </c>
      <c r="O20" s="132" t="str">
        <f ca="1">OFFSET('Data Entry'!$A$1,Printouts!O$15,Printouts!$B20)</f>
        <v>F</v>
      </c>
      <c r="P20" s="132" t="str">
        <f ca="1">OFFSET('Data Entry'!$A$1,Printouts!P$15,Printouts!$B20)</f>
        <v>F</v>
      </c>
      <c r="Q20" s="132" t="str">
        <f ca="1">OFFSET('Data Entry'!$A$1,Printouts!Q$15,Printouts!$B20)</f>
        <v>F</v>
      </c>
    </row>
    <row r="21" spans="2:17" x14ac:dyDescent="0.25">
      <c r="C21" s="160" t="s">
        <v>0</v>
      </c>
      <c r="D21" s="161"/>
      <c r="E21" s="161"/>
      <c r="F21" s="161"/>
      <c r="G21" s="117" t="s">
        <v>112</v>
      </c>
      <c r="H21" s="120" t="s">
        <v>111</v>
      </c>
      <c r="I21" s="120" t="s">
        <v>111</v>
      </c>
      <c r="J21" s="120" t="s">
        <v>111</v>
      </c>
      <c r="K21" s="120" t="s">
        <v>111</v>
      </c>
      <c r="L21" s="120" t="s">
        <v>111</v>
      </c>
      <c r="M21" s="120" t="s">
        <v>111</v>
      </c>
      <c r="N21" s="120" t="s">
        <v>111</v>
      </c>
      <c r="O21" s="120" t="s">
        <v>111</v>
      </c>
      <c r="P21" s="120" t="s">
        <v>111</v>
      </c>
      <c r="Q21" s="120" t="s">
        <v>111</v>
      </c>
    </row>
    <row r="22" spans="2:17" x14ac:dyDescent="0.25">
      <c r="B22">
        <v>12</v>
      </c>
      <c r="C22" s="162" t="str">
        <f ca="1">OFFSET('Data Entry'!$A$1,Printouts!G$15,Printouts!$B22)</f>
        <v>Homeworks</v>
      </c>
      <c r="D22" s="163"/>
      <c r="E22" s="163"/>
      <c r="F22" s="163"/>
      <c r="G22" s="118">
        <f ca="1">OFFSET('Data Entry'!$A$1,Printouts!F$15,Printouts!$B22)</f>
        <v>0.1</v>
      </c>
      <c r="H22" s="121">
        <f ca="1">OFFSET('Data Entry'!$A$1,Printouts!H$15,Printouts!$B22)</f>
        <v>100</v>
      </c>
      <c r="I22" s="121">
        <f ca="1">OFFSET('Data Entry'!$A$1,Printouts!I$15,Printouts!$B22)</f>
        <v>80</v>
      </c>
      <c r="J22" s="121">
        <f ca="1">OFFSET('Data Entry'!$A$1,Printouts!J$15,Printouts!$B22)</f>
        <v>100</v>
      </c>
      <c r="K22" s="121">
        <f ca="1">OFFSET('Data Entry'!$A$1,Printouts!K$15,Printouts!$B22)</f>
        <v>93.333333333333329</v>
      </c>
      <c r="L22" s="121">
        <f ca="1">OFFSET('Data Entry'!$A$1,Printouts!L$15,Printouts!$B22)</f>
        <v>0</v>
      </c>
      <c r="M22" s="121">
        <f ca="1">OFFSET('Data Entry'!$A$1,Printouts!M$15,Printouts!$B22)</f>
        <v>0</v>
      </c>
      <c r="N22" s="121">
        <f ca="1">OFFSET('Data Entry'!$A$1,Printouts!N$15,Printouts!$B22)</f>
        <v>0</v>
      </c>
      <c r="O22" s="121">
        <f ca="1">OFFSET('Data Entry'!$A$1,Printouts!O$15,Printouts!$B22)</f>
        <v>0</v>
      </c>
      <c r="P22" s="121">
        <f ca="1">OFFSET('Data Entry'!$A$1,Printouts!P$15,Printouts!$B22)</f>
        <v>0</v>
      </c>
      <c r="Q22" s="121">
        <f ca="1">OFFSET('Data Entry'!$A$1,Printouts!Q$15,Printouts!$B22)</f>
        <v>0</v>
      </c>
    </row>
    <row r="23" spans="2:17" x14ac:dyDescent="0.25">
      <c r="B23">
        <f>B22+1</f>
        <v>13</v>
      </c>
      <c r="C23" s="162" t="str">
        <f ca="1">OFFSET('Data Entry'!$A$1,Printouts!G$15,Printouts!$B23)</f>
        <v>Classworks</v>
      </c>
      <c r="D23" s="163"/>
      <c r="E23" s="163"/>
      <c r="F23" s="163"/>
      <c r="G23" s="118">
        <f ca="1">OFFSET('Data Entry'!$A$1,Printouts!F$15,Printouts!$B23)</f>
        <v>0.2</v>
      </c>
      <c r="H23" s="122">
        <f ca="1">OFFSET('Data Entry'!$A$1,Printouts!H$15,Printouts!$B23)</f>
        <v>100</v>
      </c>
      <c r="I23" s="122">
        <f ca="1">OFFSET('Data Entry'!$A$1,Printouts!I$15,Printouts!$B23)</f>
        <v>66.666666666666657</v>
      </c>
      <c r="J23" s="122">
        <f ca="1">OFFSET('Data Entry'!$A$1,Printouts!J$15,Printouts!$B23)</f>
        <v>80</v>
      </c>
      <c r="K23" s="122">
        <f ca="1">OFFSET('Data Entry'!$A$1,Printouts!K$15,Printouts!$B23)</f>
        <v>100</v>
      </c>
      <c r="L23" s="122">
        <f ca="1">OFFSET('Data Entry'!$A$1,Printouts!L$15,Printouts!$B23)</f>
        <v>0</v>
      </c>
      <c r="M23" s="122">
        <f ca="1">OFFSET('Data Entry'!$A$1,Printouts!M$15,Printouts!$B23)</f>
        <v>0</v>
      </c>
      <c r="N23" s="122">
        <f ca="1">OFFSET('Data Entry'!$A$1,Printouts!N$15,Printouts!$B23)</f>
        <v>0</v>
      </c>
      <c r="O23" s="122">
        <f ca="1">OFFSET('Data Entry'!$A$1,Printouts!O$15,Printouts!$B23)</f>
        <v>0</v>
      </c>
      <c r="P23" s="122">
        <f ca="1">OFFSET('Data Entry'!$A$1,Printouts!P$15,Printouts!$B23)</f>
        <v>0</v>
      </c>
      <c r="Q23" s="122">
        <f ca="1">OFFSET('Data Entry'!$A$1,Printouts!Q$15,Printouts!$B23)</f>
        <v>0</v>
      </c>
    </row>
    <row r="24" spans="2:17" x14ac:dyDescent="0.25">
      <c r="B24">
        <f t="shared" ref="B24:B27" si="1">B23+1</f>
        <v>14</v>
      </c>
      <c r="C24" s="162" t="str">
        <f ca="1">OFFSET('Data Entry'!$A$1,Printouts!G$15,Printouts!$B24)</f>
        <v>Tests</v>
      </c>
      <c r="D24" s="163"/>
      <c r="E24" s="163"/>
      <c r="F24" s="163"/>
      <c r="G24" s="118">
        <f ca="1">OFFSET('Data Entry'!$A$1,Printouts!F$15,Printouts!$B24)</f>
        <v>0.4</v>
      </c>
      <c r="H24" s="122">
        <f ca="1">OFFSET('Data Entry'!$A$1,Printouts!H$15,Printouts!$B24)</f>
        <v>100</v>
      </c>
      <c r="I24" s="122">
        <f ca="1">OFFSET('Data Entry'!$A$1,Printouts!I$15,Printouts!$B24)</f>
        <v>96</v>
      </c>
      <c r="J24" s="122">
        <f ca="1">OFFSET('Data Entry'!$A$1,Printouts!J$15,Printouts!$B24)</f>
        <v>80</v>
      </c>
      <c r="K24" s="122">
        <f ca="1">OFFSET('Data Entry'!$A$1,Printouts!K$15,Printouts!$B24)</f>
        <v>80</v>
      </c>
      <c r="L24" s="122">
        <f ca="1">OFFSET('Data Entry'!$A$1,Printouts!L$15,Printouts!$B24)</f>
        <v>0</v>
      </c>
      <c r="M24" s="122">
        <f ca="1">OFFSET('Data Entry'!$A$1,Printouts!M$15,Printouts!$B24)</f>
        <v>0</v>
      </c>
      <c r="N24" s="122">
        <f ca="1">OFFSET('Data Entry'!$A$1,Printouts!N$15,Printouts!$B24)</f>
        <v>0</v>
      </c>
      <c r="O24" s="122">
        <f ca="1">OFFSET('Data Entry'!$A$1,Printouts!O$15,Printouts!$B24)</f>
        <v>0</v>
      </c>
      <c r="P24" s="122">
        <f ca="1">OFFSET('Data Entry'!$A$1,Printouts!P$15,Printouts!$B24)</f>
        <v>0</v>
      </c>
      <c r="Q24" s="122">
        <f ca="1">OFFSET('Data Entry'!$A$1,Printouts!Q$15,Printouts!$B24)</f>
        <v>0</v>
      </c>
    </row>
    <row r="25" spans="2:17" x14ac:dyDescent="0.25">
      <c r="B25">
        <f t="shared" si="1"/>
        <v>15</v>
      </c>
      <c r="C25" s="162" t="str">
        <f ca="1">OFFSET('Data Entry'!$A$1,Printouts!G$15,Printouts!$B25)</f>
        <v>Projects</v>
      </c>
      <c r="D25" s="163"/>
      <c r="E25" s="163"/>
      <c r="F25" s="163"/>
      <c r="G25" s="118">
        <f ca="1">OFFSET('Data Entry'!$A$1,Printouts!F$15,Printouts!$B25)</f>
        <v>0.3</v>
      </c>
      <c r="H25" s="122">
        <f ca="1">OFFSET('Data Entry'!$A$1,Printouts!H$15,Printouts!$B25)</f>
        <v>100</v>
      </c>
      <c r="I25" s="122">
        <f ca="1">OFFSET('Data Entry'!$A$1,Printouts!I$15,Printouts!$B25)</f>
        <v>100</v>
      </c>
      <c r="J25" s="122">
        <f ca="1">OFFSET('Data Entry'!$A$1,Printouts!J$15,Printouts!$B25)</f>
        <v>80</v>
      </c>
      <c r="K25" s="122">
        <f ca="1">OFFSET('Data Entry'!$A$1,Printouts!K$15,Printouts!$B25)</f>
        <v>90</v>
      </c>
      <c r="L25" s="122">
        <f ca="1">OFFSET('Data Entry'!$A$1,Printouts!L$15,Printouts!$B25)</f>
        <v>0</v>
      </c>
      <c r="M25" s="122">
        <f ca="1">OFFSET('Data Entry'!$A$1,Printouts!M$15,Printouts!$B25)</f>
        <v>0</v>
      </c>
      <c r="N25" s="122">
        <f ca="1">OFFSET('Data Entry'!$A$1,Printouts!N$15,Printouts!$B25)</f>
        <v>0</v>
      </c>
      <c r="O25" s="122">
        <f ca="1">OFFSET('Data Entry'!$A$1,Printouts!O$15,Printouts!$B25)</f>
        <v>0</v>
      </c>
      <c r="P25" s="122">
        <f ca="1">OFFSET('Data Entry'!$A$1,Printouts!P$15,Printouts!$B25)</f>
        <v>0</v>
      </c>
      <c r="Q25" s="122">
        <f ca="1">OFFSET('Data Entry'!$A$1,Printouts!Q$15,Printouts!$B25)</f>
        <v>0</v>
      </c>
    </row>
    <row r="26" spans="2:17" x14ac:dyDescent="0.25">
      <c r="B26">
        <f t="shared" si="1"/>
        <v>16</v>
      </c>
      <c r="C26" s="162" t="str">
        <f ca="1">OFFSET('Data Entry'!$A$1,Printouts!G$15,Printouts!$B26)</f>
        <v>Another Type</v>
      </c>
      <c r="D26" s="163"/>
      <c r="E26" s="163"/>
      <c r="F26" s="163"/>
      <c r="G26" s="118">
        <f ca="1">OFFSET('Data Entry'!$A$1,Printouts!F$15,Printouts!$B26)</f>
        <v>0</v>
      </c>
      <c r="H26" s="122" t="str">
        <f ca="1">OFFSET('Data Entry'!$A$1,Printouts!H$15,Printouts!$B26)</f>
        <v/>
      </c>
      <c r="I26" s="122" t="str">
        <f ca="1">OFFSET('Data Entry'!$A$1,Printouts!I$15,Printouts!$B26)</f>
        <v/>
      </c>
      <c r="J26" s="122" t="str">
        <f ca="1">OFFSET('Data Entry'!$A$1,Printouts!J$15,Printouts!$B26)</f>
        <v/>
      </c>
      <c r="K26" s="122" t="str">
        <f ca="1">OFFSET('Data Entry'!$A$1,Printouts!K$15,Printouts!$B26)</f>
        <v/>
      </c>
      <c r="L26" s="122" t="str">
        <f ca="1">OFFSET('Data Entry'!$A$1,Printouts!L$15,Printouts!$B26)</f>
        <v/>
      </c>
      <c r="M26" s="122" t="str">
        <f ca="1">OFFSET('Data Entry'!$A$1,Printouts!M$15,Printouts!$B26)</f>
        <v/>
      </c>
      <c r="N26" s="122" t="str">
        <f ca="1">OFFSET('Data Entry'!$A$1,Printouts!N$15,Printouts!$B26)</f>
        <v/>
      </c>
      <c r="O26" s="122" t="str">
        <f ca="1">OFFSET('Data Entry'!$A$1,Printouts!O$15,Printouts!$B26)</f>
        <v/>
      </c>
      <c r="P26" s="122" t="str">
        <f ca="1">OFFSET('Data Entry'!$A$1,Printouts!P$15,Printouts!$B26)</f>
        <v/>
      </c>
      <c r="Q26" s="122" t="str">
        <f ca="1">OFFSET('Data Entry'!$A$1,Printouts!Q$15,Printouts!$B26)</f>
        <v/>
      </c>
    </row>
    <row r="27" spans="2:17" ht="15.75" thickBot="1" x14ac:dyDescent="0.3">
      <c r="B27">
        <f t="shared" si="1"/>
        <v>17</v>
      </c>
      <c r="C27" s="164" t="str">
        <f ca="1">OFFSET('Data Entry'!$A$1,Printouts!G$15,Printouts!$B27)</f>
        <v>Another Type 2</v>
      </c>
      <c r="D27" s="165"/>
      <c r="E27" s="165"/>
      <c r="F27" s="165"/>
      <c r="G27" s="119">
        <f ca="1">OFFSET('Data Entry'!$A$1,Printouts!F$15,Printouts!$B27)</f>
        <v>0</v>
      </c>
      <c r="H27" s="123" t="str">
        <f ca="1">OFFSET('Data Entry'!$A$1,Printouts!H$15,Printouts!$B27)</f>
        <v/>
      </c>
      <c r="I27" s="123" t="str">
        <f ca="1">OFFSET('Data Entry'!$A$1,Printouts!I$15,Printouts!$B27)</f>
        <v/>
      </c>
      <c r="J27" s="123" t="str">
        <f ca="1">OFFSET('Data Entry'!$A$1,Printouts!J$15,Printouts!$B27)</f>
        <v/>
      </c>
      <c r="K27" s="123" t="str">
        <f ca="1">OFFSET('Data Entry'!$A$1,Printouts!K$15,Printouts!$B27)</f>
        <v/>
      </c>
      <c r="L27" s="123" t="str">
        <f ca="1">OFFSET('Data Entry'!$A$1,Printouts!L$15,Printouts!$B27)</f>
        <v/>
      </c>
      <c r="M27" s="123" t="str">
        <f ca="1">OFFSET('Data Entry'!$A$1,Printouts!M$15,Printouts!$B27)</f>
        <v/>
      </c>
      <c r="N27" s="123" t="str">
        <f ca="1">OFFSET('Data Entry'!$A$1,Printouts!N$15,Printouts!$B27)</f>
        <v/>
      </c>
      <c r="O27" s="123" t="str">
        <f ca="1">OFFSET('Data Entry'!$A$1,Printouts!O$15,Printouts!$B27)</f>
        <v/>
      </c>
      <c r="P27" s="123" t="str">
        <f ca="1">OFFSET('Data Entry'!$A$1,Printouts!P$15,Printouts!$B27)</f>
        <v/>
      </c>
      <c r="Q27" s="123" t="str">
        <f ca="1">OFFSET('Data Entry'!$A$1,Printouts!Q$15,Printouts!$B27)</f>
        <v/>
      </c>
    </row>
    <row r="28" spans="2:17" x14ac:dyDescent="0.25">
      <c r="C28" s="104" t="s">
        <v>106</v>
      </c>
      <c r="D28" s="99" t="s">
        <v>1</v>
      </c>
      <c r="E28" s="99" t="s">
        <v>2</v>
      </c>
      <c r="F28" s="100" t="s">
        <v>71</v>
      </c>
      <c r="G28" s="102" t="s">
        <v>108</v>
      </c>
      <c r="H28" s="124" t="s">
        <v>109</v>
      </c>
      <c r="I28" s="124" t="s">
        <v>113</v>
      </c>
      <c r="J28" s="124" t="s">
        <v>113</v>
      </c>
      <c r="K28" s="124" t="s">
        <v>113</v>
      </c>
      <c r="L28" s="124" t="s">
        <v>113</v>
      </c>
      <c r="M28" s="124" t="s">
        <v>113</v>
      </c>
      <c r="N28" s="124" t="s">
        <v>113</v>
      </c>
      <c r="O28" s="124" t="s">
        <v>113</v>
      </c>
      <c r="P28" s="124" t="s">
        <v>113</v>
      </c>
      <c r="Q28" s="124" t="s">
        <v>113</v>
      </c>
    </row>
    <row r="29" spans="2:17" x14ac:dyDescent="0.25">
      <c r="B29">
        <v>18</v>
      </c>
      <c r="C29" s="95" t="str">
        <f ca="1">OFFSET('Data Entry'!$A$1,Printouts!C$15,Printouts!$B29)</f>
        <v>Homeworks</v>
      </c>
      <c r="D29" s="93">
        <f ca="1">OFFSET('Data Entry'!$A$1,Printouts!D$15,Printouts!$B29)</f>
        <v>10</v>
      </c>
      <c r="E29" s="94">
        <f ca="1">OFFSET('Data Entry'!$A$1,Printouts!E$15,Printouts!$B29)</f>
        <v>1</v>
      </c>
      <c r="F29" s="97">
        <f ca="1">OFFSET('Data Entry'!$A$1,Printouts!F$15,Printouts!$B29)</f>
        <v>42024</v>
      </c>
      <c r="G29" s="103" t="str">
        <f ca="1">OFFSET('Data Entry'!$A$1,Printouts!G$15,Printouts!$B29)</f>
        <v>Homework One</v>
      </c>
      <c r="H29" s="125">
        <f ca="1">OFFSET('Data Entry'!$A$1,Printouts!H$15,Printouts!$B29)</f>
        <v>10</v>
      </c>
      <c r="I29" s="125">
        <f ca="1">OFFSET('Data Entry'!$A$1,Printouts!I$15,Printouts!$B29)</f>
        <v>8</v>
      </c>
      <c r="J29" s="125">
        <f ca="1">OFFSET('Data Entry'!$A$1,Printouts!J$15,Printouts!$B29)</f>
        <v>10</v>
      </c>
      <c r="K29" s="125">
        <f ca="1">OFFSET('Data Entry'!$A$1,Printouts!K$15,Printouts!$B29)</f>
        <v>10</v>
      </c>
      <c r="L29" s="125">
        <f ca="1">OFFSET('Data Entry'!$A$1,Printouts!L$15,Printouts!$B29)</f>
        <v>0</v>
      </c>
      <c r="M29" s="125">
        <f ca="1">OFFSET('Data Entry'!$A$1,Printouts!M$15,Printouts!$B29)</f>
        <v>0</v>
      </c>
      <c r="N29" s="125">
        <f ca="1">OFFSET('Data Entry'!$A$1,Printouts!N$15,Printouts!$B29)</f>
        <v>0</v>
      </c>
      <c r="O29" s="125">
        <f ca="1">OFFSET('Data Entry'!$A$1,Printouts!O$15,Printouts!$B29)</f>
        <v>0</v>
      </c>
      <c r="P29" s="125">
        <f ca="1">OFFSET('Data Entry'!$A$1,Printouts!P$15,Printouts!$B29)</f>
        <v>0</v>
      </c>
      <c r="Q29" s="125">
        <f ca="1">OFFSET('Data Entry'!$A$1,Printouts!Q$15,Printouts!$B29)</f>
        <v>0</v>
      </c>
    </row>
    <row r="30" spans="2:17" x14ac:dyDescent="0.25">
      <c r="B30">
        <f>B29+1</f>
        <v>19</v>
      </c>
      <c r="C30" s="96" t="str">
        <f ca="1">OFFSET('Data Entry'!$A$1,Printouts!C$15,Printouts!$B30)</f>
        <v>Classworks</v>
      </c>
      <c r="D30" s="91">
        <f ca="1">OFFSET('Data Entry'!$A$1,Printouts!D$15,Printouts!$B30)</f>
        <v>15</v>
      </c>
      <c r="E30" s="92">
        <f ca="1">OFFSET('Data Entry'!$A$1,Printouts!E$15,Printouts!$B30)</f>
        <v>1</v>
      </c>
      <c r="F30" s="98">
        <f ca="1">OFFSET('Data Entry'!$A$1,Printouts!F$15,Printouts!$B30)</f>
        <v>42029</v>
      </c>
      <c r="G30" s="101" t="str">
        <f ca="1">OFFSET('Data Entry'!$A$1,Printouts!G$15,Printouts!$B30)</f>
        <v>Classwork  One</v>
      </c>
      <c r="H30" s="122">
        <f ca="1">OFFSET('Data Entry'!$A$1,Printouts!H$15,Printouts!$B30)</f>
        <v>15</v>
      </c>
      <c r="I30" s="122">
        <f ca="1">OFFSET('Data Entry'!$A$1,Printouts!I$15,Printouts!$B30)</f>
        <v>10</v>
      </c>
      <c r="J30" s="122">
        <f ca="1">OFFSET('Data Entry'!$A$1,Printouts!J$15,Printouts!$B30)</f>
        <v>12</v>
      </c>
      <c r="K30" s="122">
        <f ca="1">OFFSET('Data Entry'!$A$1,Printouts!K$15,Printouts!$B30)</f>
        <v>15</v>
      </c>
      <c r="L30" s="122">
        <f ca="1">OFFSET('Data Entry'!$A$1,Printouts!L$15,Printouts!$B30)</f>
        <v>0</v>
      </c>
      <c r="M30" s="122">
        <f ca="1">OFFSET('Data Entry'!$A$1,Printouts!M$15,Printouts!$B30)</f>
        <v>0</v>
      </c>
      <c r="N30" s="122">
        <f ca="1">OFFSET('Data Entry'!$A$1,Printouts!N$15,Printouts!$B30)</f>
        <v>0</v>
      </c>
      <c r="O30" s="122">
        <f ca="1">OFFSET('Data Entry'!$A$1,Printouts!O$15,Printouts!$B30)</f>
        <v>0</v>
      </c>
      <c r="P30" s="122">
        <f ca="1">OFFSET('Data Entry'!$A$1,Printouts!P$15,Printouts!$B30)</f>
        <v>0</v>
      </c>
      <c r="Q30" s="122">
        <f ca="1">OFFSET('Data Entry'!$A$1,Printouts!Q$15,Printouts!$B30)</f>
        <v>0</v>
      </c>
    </row>
    <row r="31" spans="2:17" x14ac:dyDescent="0.25">
      <c r="B31">
        <f t="shared" ref="B31:B38" si="2">B30+1</f>
        <v>20</v>
      </c>
      <c r="C31" s="96" t="str">
        <f ca="1">OFFSET('Data Entry'!$A$1,Printouts!C$15,Printouts!$B31)</f>
        <v>Homeworks</v>
      </c>
      <c r="D31" s="91">
        <f ca="1">OFFSET('Data Entry'!$A$1,Printouts!D$15,Printouts!$B31)</f>
        <v>5</v>
      </c>
      <c r="E31" s="92">
        <f ca="1">OFFSET('Data Entry'!$A$1,Printouts!E$15,Printouts!$B31)</f>
        <v>1</v>
      </c>
      <c r="F31" s="98">
        <f ca="1">OFFSET('Data Entry'!$A$1,Printouts!F$15,Printouts!$B31)</f>
        <v>42031</v>
      </c>
      <c r="G31" s="101" t="str">
        <f ca="1">OFFSET('Data Entry'!$A$1,Printouts!G$15,Printouts!$B31)</f>
        <v>Homework Two</v>
      </c>
      <c r="H31" s="122">
        <f ca="1">OFFSET('Data Entry'!$A$1,Printouts!H$15,Printouts!$B31)</f>
        <v>5</v>
      </c>
      <c r="I31" s="122">
        <f ca="1">OFFSET('Data Entry'!$A$1,Printouts!I$15,Printouts!$B31)</f>
        <v>4</v>
      </c>
      <c r="J31" s="122" t="str">
        <f ca="1">OFFSET('Data Entry'!$A$1,Printouts!J$15,Printouts!$B31)</f>
        <v>Excused</v>
      </c>
      <c r="K31" s="122">
        <f ca="1">OFFSET('Data Entry'!$A$1,Printouts!K$15,Printouts!$B31)</f>
        <v>4</v>
      </c>
      <c r="L31" s="122">
        <f ca="1">OFFSET('Data Entry'!$A$1,Printouts!L$15,Printouts!$B31)</f>
        <v>0</v>
      </c>
      <c r="M31" s="122">
        <f ca="1">OFFSET('Data Entry'!$A$1,Printouts!M$15,Printouts!$B31)</f>
        <v>0</v>
      </c>
      <c r="N31" s="122">
        <f ca="1">OFFSET('Data Entry'!$A$1,Printouts!N$15,Printouts!$B31)</f>
        <v>0</v>
      </c>
      <c r="O31" s="122">
        <f ca="1">OFFSET('Data Entry'!$A$1,Printouts!O$15,Printouts!$B31)</f>
        <v>0</v>
      </c>
      <c r="P31" s="122">
        <f ca="1">OFFSET('Data Entry'!$A$1,Printouts!P$15,Printouts!$B31)</f>
        <v>0</v>
      </c>
      <c r="Q31" s="122">
        <f ca="1">OFFSET('Data Entry'!$A$1,Printouts!Q$15,Printouts!$B31)</f>
        <v>0</v>
      </c>
    </row>
    <row r="32" spans="2:17" x14ac:dyDescent="0.25">
      <c r="B32">
        <f t="shared" si="2"/>
        <v>21</v>
      </c>
      <c r="C32" s="96" t="str">
        <f ca="1">OFFSET('Data Entry'!$A$1,Printouts!C$15,Printouts!$B32)</f>
        <v>Tests</v>
      </c>
      <c r="D32" s="91">
        <f ca="1">OFFSET('Data Entry'!$A$1,Printouts!D$15,Printouts!$B32)</f>
        <v>50</v>
      </c>
      <c r="E32" s="92">
        <f ca="1">OFFSET('Data Entry'!$A$1,Printouts!E$15,Printouts!$B32)</f>
        <v>1</v>
      </c>
      <c r="F32" s="98">
        <f ca="1">OFFSET('Data Entry'!$A$1,Printouts!F$15,Printouts!$B32)</f>
        <v>42034</v>
      </c>
      <c r="G32" s="101" t="str">
        <f ca="1">OFFSET('Data Entry'!$A$1,Printouts!G$15,Printouts!$B32)</f>
        <v>First Test</v>
      </c>
      <c r="H32" s="122">
        <f ca="1">OFFSET('Data Entry'!$A$1,Printouts!H$15,Printouts!$B32)</f>
        <v>50</v>
      </c>
      <c r="I32" s="122">
        <f ca="1">OFFSET('Data Entry'!$A$1,Printouts!I$15,Printouts!$B32)</f>
        <v>48</v>
      </c>
      <c r="J32" s="122">
        <f ca="1">OFFSET('Data Entry'!$A$1,Printouts!J$15,Printouts!$B32)</f>
        <v>40</v>
      </c>
      <c r="K32" s="122">
        <f ca="1">OFFSET('Data Entry'!$A$1,Printouts!K$15,Printouts!$B32)</f>
        <v>40</v>
      </c>
      <c r="L32" s="122">
        <f ca="1">OFFSET('Data Entry'!$A$1,Printouts!L$15,Printouts!$B32)</f>
        <v>0</v>
      </c>
      <c r="M32" s="122">
        <f ca="1">OFFSET('Data Entry'!$A$1,Printouts!M$15,Printouts!$B32)</f>
        <v>0</v>
      </c>
      <c r="N32" s="122">
        <f ca="1">OFFSET('Data Entry'!$A$1,Printouts!N$15,Printouts!$B32)</f>
        <v>0</v>
      </c>
      <c r="O32" s="122">
        <f ca="1">OFFSET('Data Entry'!$A$1,Printouts!O$15,Printouts!$B32)</f>
        <v>0</v>
      </c>
      <c r="P32" s="122">
        <f ca="1">OFFSET('Data Entry'!$A$1,Printouts!P$15,Printouts!$B32)</f>
        <v>0</v>
      </c>
      <c r="Q32" s="122">
        <f ca="1">OFFSET('Data Entry'!$A$1,Printouts!Q$15,Printouts!$B32)</f>
        <v>0</v>
      </c>
    </row>
    <row r="33" spans="2:17" x14ac:dyDescent="0.25">
      <c r="B33">
        <f t="shared" si="2"/>
        <v>22</v>
      </c>
      <c r="C33" s="96" t="str">
        <f ca="1">OFFSET('Data Entry'!$A$1,Printouts!C$15,Printouts!$B33)</f>
        <v>Projects</v>
      </c>
      <c r="D33" s="91">
        <f ca="1">OFFSET('Data Entry'!$A$1,Printouts!D$15,Printouts!$B33)</f>
        <v>10</v>
      </c>
      <c r="E33" s="92">
        <f ca="1">OFFSET('Data Entry'!$A$1,Printouts!E$15,Printouts!$B33)</f>
        <v>1</v>
      </c>
      <c r="F33" s="98">
        <f ca="1">OFFSET('Data Entry'!$A$1,Printouts!F$15,Printouts!$B33)</f>
        <v>42035</v>
      </c>
      <c r="G33" s="101" t="str">
        <f ca="1">OFFSET('Data Entry'!$A$1,Printouts!G$15,Printouts!$B33)</f>
        <v>Project</v>
      </c>
      <c r="H33" s="122">
        <f ca="1">OFFSET('Data Entry'!$A$1,Printouts!H$15,Printouts!$B33)</f>
        <v>10</v>
      </c>
      <c r="I33" s="122">
        <f ca="1">OFFSET('Data Entry'!$A$1,Printouts!I$15,Printouts!$B33)</f>
        <v>10</v>
      </c>
      <c r="J33" s="122">
        <f ca="1">OFFSET('Data Entry'!$A$1,Printouts!J$15,Printouts!$B33)</f>
        <v>8</v>
      </c>
      <c r="K33" s="122">
        <f ca="1">OFFSET('Data Entry'!$A$1,Printouts!K$15,Printouts!$B33)</f>
        <v>9</v>
      </c>
      <c r="L33" s="122">
        <f ca="1">OFFSET('Data Entry'!$A$1,Printouts!L$15,Printouts!$B33)</f>
        <v>0</v>
      </c>
      <c r="M33" s="122">
        <f ca="1">OFFSET('Data Entry'!$A$1,Printouts!M$15,Printouts!$B33)</f>
        <v>0</v>
      </c>
      <c r="N33" s="122">
        <f ca="1">OFFSET('Data Entry'!$A$1,Printouts!N$15,Printouts!$B33)</f>
        <v>0</v>
      </c>
      <c r="O33" s="122">
        <f ca="1">OFFSET('Data Entry'!$A$1,Printouts!O$15,Printouts!$B33)</f>
        <v>0</v>
      </c>
      <c r="P33" s="122">
        <f ca="1">OFFSET('Data Entry'!$A$1,Printouts!P$15,Printouts!$B33)</f>
        <v>0</v>
      </c>
      <c r="Q33" s="122">
        <f ca="1">OFFSET('Data Entry'!$A$1,Printouts!Q$15,Printouts!$B33)</f>
        <v>0</v>
      </c>
    </row>
    <row r="34" spans="2:17" x14ac:dyDescent="0.25">
      <c r="B34">
        <f t="shared" si="2"/>
        <v>23</v>
      </c>
      <c r="C34" s="96">
        <f ca="1">OFFSET('Data Entry'!$A$1,Printouts!C$15,Printouts!$B34)</f>
        <v>0</v>
      </c>
      <c r="D34" s="91">
        <f ca="1">OFFSET('Data Entry'!$A$1,Printouts!D$15,Printouts!$B34)</f>
        <v>0</v>
      </c>
      <c r="E34" s="92">
        <f ca="1">OFFSET('Data Entry'!$A$1,Printouts!E$15,Printouts!$B34)</f>
        <v>1</v>
      </c>
      <c r="F34" s="98">
        <f ca="1">OFFSET('Data Entry'!$A$1,Printouts!F$15,Printouts!$B34)</f>
        <v>0</v>
      </c>
      <c r="G34" s="101" t="str">
        <f ca="1">OFFSET('Data Entry'!$A$1,Printouts!G$15,Printouts!$B34)</f>
        <v>Assessment 2</v>
      </c>
      <c r="H34" s="122">
        <f ca="1">OFFSET('Data Entry'!$A$1,Printouts!H$15,Printouts!$B34)</f>
        <v>0</v>
      </c>
      <c r="I34" s="122">
        <f ca="1">OFFSET('Data Entry'!$A$1,Printouts!I$15,Printouts!$B34)</f>
        <v>0</v>
      </c>
      <c r="J34" s="122">
        <f ca="1">OFFSET('Data Entry'!$A$1,Printouts!J$15,Printouts!$B34)</f>
        <v>0</v>
      </c>
      <c r="K34" s="122">
        <f ca="1">OFFSET('Data Entry'!$A$1,Printouts!K$15,Printouts!$B34)</f>
        <v>0</v>
      </c>
      <c r="L34" s="122">
        <f ca="1">OFFSET('Data Entry'!$A$1,Printouts!L$15,Printouts!$B34)</f>
        <v>0</v>
      </c>
      <c r="M34" s="122">
        <f ca="1">OFFSET('Data Entry'!$A$1,Printouts!M$15,Printouts!$B34)</f>
        <v>0</v>
      </c>
      <c r="N34" s="122">
        <f ca="1">OFFSET('Data Entry'!$A$1,Printouts!N$15,Printouts!$B34)</f>
        <v>0</v>
      </c>
      <c r="O34" s="122">
        <f ca="1">OFFSET('Data Entry'!$A$1,Printouts!O$15,Printouts!$B34)</f>
        <v>0</v>
      </c>
      <c r="P34" s="122">
        <f ca="1">OFFSET('Data Entry'!$A$1,Printouts!P$15,Printouts!$B34)</f>
        <v>0</v>
      </c>
      <c r="Q34" s="122">
        <f ca="1">OFFSET('Data Entry'!$A$1,Printouts!Q$15,Printouts!$B34)</f>
        <v>0</v>
      </c>
    </row>
    <row r="35" spans="2:17" x14ac:dyDescent="0.25">
      <c r="B35">
        <f t="shared" si="2"/>
        <v>24</v>
      </c>
      <c r="C35" s="96">
        <f ca="1">OFFSET('Data Entry'!$A$1,Printouts!C$15,Printouts!$B35)</f>
        <v>0</v>
      </c>
      <c r="D35" s="91">
        <f ca="1">OFFSET('Data Entry'!$A$1,Printouts!D$15,Printouts!$B35)</f>
        <v>0</v>
      </c>
      <c r="E35" s="92">
        <f ca="1">OFFSET('Data Entry'!$A$1,Printouts!E$15,Printouts!$B35)</f>
        <v>1</v>
      </c>
      <c r="F35" s="98">
        <f ca="1">OFFSET('Data Entry'!$A$1,Printouts!F$15,Printouts!$B35)</f>
        <v>0</v>
      </c>
      <c r="G35" s="101" t="str">
        <f ca="1">OFFSET('Data Entry'!$A$1,Printouts!G$15,Printouts!$B35)</f>
        <v>Assessment 3</v>
      </c>
      <c r="H35" s="122">
        <f ca="1">OFFSET('Data Entry'!$A$1,Printouts!H$15,Printouts!$B35)</f>
        <v>0</v>
      </c>
      <c r="I35" s="122">
        <f ca="1">OFFSET('Data Entry'!$A$1,Printouts!I$15,Printouts!$B35)</f>
        <v>0</v>
      </c>
      <c r="J35" s="122">
        <f ca="1">OFFSET('Data Entry'!$A$1,Printouts!J$15,Printouts!$B35)</f>
        <v>0</v>
      </c>
      <c r="K35" s="122">
        <f ca="1">OFFSET('Data Entry'!$A$1,Printouts!K$15,Printouts!$B35)</f>
        <v>0</v>
      </c>
      <c r="L35" s="122">
        <f ca="1">OFFSET('Data Entry'!$A$1,Printouts!L$15,Printouts!$B35)</f>
        <v>0</v>
      </c>
      <c r="M35" s="122">
        <f ca="1">OFFSET('Data Entry'!$A$1,Printouts!M$15,Printouts!$B35)</f>
        <v>0</v>
      </c>
      <c r="N35" s="122">
        <f ca="1">OFFSET('Data Entry'!$A$1,Printouts!N$15,Printouts!$B35)</f>
        <v>0</v>
      </c>
      <c r="O35" s="122">
        <f ca="1">OFFSET('Data Entry'!$A$1,Printouts!O$15,Printouts!$B35)</f>
        <v>0</v>
      </c>
      <c r="P35" s="122">
        <f ca="1">OFFSET('Data Entry'!$A$1,Printouts!P$15,Printouts!$B35)</f>
        <v>0</v>
      </c>
      <c r="Q35" s="122">
        <f ca="1">OFFSET('Data Entry'!$A$1,Printouts!Q$15,Printouts!$B35)</f>
        <v>0</v>
      </c>
    </row>
    <row r="36" spans="2:17" x14ac:dyDescent="0.25">
      <c r="B36">
        <f t="shared" si="2"/>
        <v>25</v>
      </c>
      <c r="C36" s="96">
        <f ca="1">OFFSET('Data Entry'!$A$1,Printouts!C$15,Printouts!$B36)</f>
        <v>0</v>
      </c>
      <c r="D36" s="91">
        <f ca="1">OFFSET('Data Entry'!$A$1,Printouts!D$15,Printouts!$B36)</f>
        <v>0</v>
      </c>
      <c r="E36" s="92">
        <f ca="1">OFFSET('Data Entry'!$A$1,Printouts!E$15,Printouts!$B36)</f>
        <v>1</v>
      </c>
      <c r="F36" s="98">
        <f ca="1">OFFSET('Data Entry'!$A$1,Printouts!F$15,Printouts!$B36)</f>
        <v>0</v>
      </c>
      <c r="G36" s="101" t="str">
        <f ca="1">OFFSET('Data Entry'!$A$1,Printouts!G$15,Printouts!$B36)</f>
        <v>Assessment 4</v>
      </c>
      <c r="H36" s="122">
        <f ca="1">OFFSET('Data Entry'!$A$1,Printouts!H$15,Printouts!$B36)</f>
        <v>0</v>
      </c>
      <c r="I36" s="122">
        <f ca="1">OFFSET('Data Entry'!$A$1,Printouts!I$15,Printouts!$B36)</f>
        <v>0</v>
      </c>
      <c r="J36" s="122">
        <f ca="1">OFFSET('Data Entry'!$A$1,Printouts!J$15,Printouts!$B36)</f>
        <v>0</v>
      </c>
      <c r="K36" s="122">
        <f ca="1">OFFSET('Data Entry'!$A$1,Printouts!K$15,Printouts!$B36)</f>
        <v>0</v>
      </c>
      <c r="L36" s="122">
        <f ca="1">OFFSET('Data Entry'!$A$1,Printouts!L$15,Printouts!$B36)</f>
        <v>0</v>
      </c>
      <c r="M36" s="122">
        <f ca="1">OFFSET('Data Entry'!$A$1,Printouts!M$15,Printouts!$B36)</f>
        <v>0</v>
      </c>
      <c r="N36" s="122">
        <f ca="1">OFFSET('Data Entry'!$A$1,Printouts!N$15,Printouts!$B36)</f>
        <v>0</v>
      </c>
      <c r="O36" s="122">
        <f ca="1">OFFSET('Data Entry'!$A$1,Printouts!O$15,Printouts!$B36)</f>
        <v>0</v>
      </c>
      <c r="P36" s="122">
        <f ca="1">OFFSET('Data Entry'!$A$1,Printouts!P$15,Printouts!$B36)</f>
        <v>0</v>
      </c>
      <c r="Q36" s="122">
        <f ca="1">OFFSET('Data Entry'!$A$1,Printouts!Q$15,Printouts!$B36)</f>
        <v>0</v>
      </c>
    </row>
    <row r="37" spans="2:17" x14ac:dyDescent="0.25">
      <c r="B37">
        <f t="shared" si="2"/>
        <v>26</v>
      </c>
      <c r="C37" s="96">
        <f ca="1">OFFSET('Data Entry'!$A$1,Printouts!C$15,Printouts!$B37)</f>
        <v>0</v>
      </c>
      <c r="D37" s="91">
        <f ca="1">OFFSET('Data Entry'!$A$1,Printouts!D$15,Printouts!$B37)</f>
        <v>0</v>
      </c>
      <c r="E37" s="92">
        <f ca="1">OFFSET('Data Entry'!$A$1,Printouts!E$15,Printouts!$B37)</f>
        <v>1</v>
      </c>
      <c r="F37" s="98">
        <f ca="1">OFFSET('Data Entry'!$A$1,Printouts!F$15,Printouts!$B37)</f>
        <v>0</v>
      </c>
      <c r="G37" s="101" t="str">
        <f ca="1">OFFSET('Data Entry'!$A$1,Printouts!G$15,Printouts!$B37)</f>
        <v>Assessment 5</v>
      </c>
      <c r="H37" s="122">
        <f ca="1">OFFSET('Data Entry'!$A$1,Printouts!H$15,Printouts!$B37)</f>
        <v>0</v>
      </c>
      <c r="I37" s="122">
        <f ca="1">OFFSET('Data Entry'!$A$1,Printouts!I$15,Printouts!$B37)</f>
        <v>0</v>
      </c>
      <c r="J37" s="122">
        <f ca="1">OFFSET('Data Entry'!$A$1,Printouts!J$15,Printouts!$B37)</f>
        <v>0</v>
      </c>
      <c r="K37" s="122">
        <f ca="1">OFFSET('Data Entry'!$A$1,Printouts!K$15,Printouts!$B37)</f>
        <v>0</v>
      </c>
      <c r="L37" s="122">
        <f ca="1">OFFSET('Data Entry'!$A$1,Printouts!L$15,Printouts!$B37)</f>
        <v>0</v>
      </c>
      <c r="M37" s="122">
        <f ca="1">OFFSET('Data Entry'!$A$1,Printouts!M$15,Printouts!$B37)</f>
        <v>0</v>
      </c>
      <c r="N37" s="122">
        <f ca="1">OFFSET('Data Entry'!$A$1,Printouts!N$15,Printouts!$B37)</f>
        <v>0</v>
      </c>
      <c r="O37" s="122">
        <f ca="1">OFFSET('Data Entry'!$A$1,Printouts!O$15,Printouts!$B37)</f>
        <v>0</v>
      </c>
      <c r="P37" s="122">
        <f ca="1">OFFSET('Data Entry'!$A$1,Printouts!P$15,Printouts!$B37)</f>
        <v>0</v>
      </c>
      <c r="Q37" s="122">
        <f ca="1">OFFSET('Data Entry'!$A$1,Printouts!Q$15,Printouts!$B37)</f>
        <v>0</v>
      </c>
    </row>
    <row r="38" spans="2:17" x14ac:dyDescent="0.25">
      <c r="B38">
        <f t="shared" si="2"/>
        <v>27</v>
      </c>
      <c r="C38" s="96">
        <f ca="1">OFFSET('Data Entry'!$A$1,Printouts!C$15,Printouts!$B38)</f>
        <v>0</v>
      </c>
      <c r="D38" s="91">
        <f ca="1">OFFSET('Data Entry'!$A$1,Printouts!D$15,Printouts!$B38)</f>
        <v>0</v>
      </c>
      <c r="E38" s="92">
        <f ca="1">OFFSET('Data Entry'!$A$1,Printouts!E$15,Printouts!$B38)</f>
        <v>1</v>
      </c>
      <c r="F38" s="98">
        <f ca="1">OFFSET('Data Entry'!$A$1,Printouts!F$15,Printouts!$B38)</f>
        <v>0</v>
      </c>
      <c r="G38" s="101" t="str">
        <f ca="1">OFFSET('Data Entry'!$A$1,Printouts!G$15,Printouts!$B38)</f>
        <v>Assessment 6</v>
      </c>
      <c r="H38" s="122">
        <f ca="1">OFFSET('Data Entry'!$A$1,Printouts!H$15,Printouts!$B38)</f>
        <v>0</v>
      </c>
      <c r="I38" s="122">
        <f ca="1">OFFSET('Data Entry'!$A$1,Printouts!I$15,Printouts!$B38)</f>
        <v>0</v>
      </c>
      <c r="J38" s="122">
        <f ca="1">OFFSET('Data Entry'!$A$1,Printouts!J$15,Printouts!$B38)</f>
        <v>0</v>
      </c>
      <c r="K38" s="122">
        <f ca="1">OFFSET('Data Entry'!$A$1,Printouts!K$15,Printouts!$B38)</f>
        <v>0</v>
      </c>
      <c r="L38" s="122">
        <f ca="1">OFFSET('Data Entry'!$A$1,Printouts!L$15,Printouts!$B38)</f>
        <v>0</v>
      </c>
      <c r="M38" s="122">
        <f ca="1">OFFSET('Data Entry'!$A$1,Printouts!M$15,Printouts!$B38)</f>
        <v>0</v>
      </c>
      <c r="N38" s="122">
        <f ca="1">OFFSET('Data Entry'!$A$1,Printouts!N$15,Printouts!$B38)</f>
        <v>0</v>
      </c>
      <c r="O38" s="122">
        <f ca="1">OFFSET('Data Entry'!$A$1,Printouts!O$15,Printouts!$B38)</f>
        <v>0</v>
      </c>
      <c r="P38" s="122">
        <f ca="1">OFFSET('Data Entry'!$A$1,Printouts!P$15,Printouts!$B38)</f>
        <v>0</v>
      </c>
      <c r="Q38" s="122">
        <f ca="1">OFFSET('Data Entry'!$A$1,Printouts!Q$15,Printouts!$B38)</f>
        <v>0</v>
      </c>
    </row>
  </sheetData>
  <mergeCells count="11">
    <mergeCell ref="C25:F25"/>
    <mergeCell ref="C26:F26"/>
    <mergeCell ref="C27:F27"/>
    <mergeCell ref="C16:G16"/>
    <mergeCell ref="C19:G19"/>
    <mergeCell ref="C24:F24"/>
    <mergeCell ref="C9:G9"/>
    <mergeCell ref="C12:G12"/>
    <mergeCell ref="C21:F21"/>
    <mergeCell ref="C22:F22"/>
    <mergeCell ref="C23:F23"/>
  </mergeCells>
  <printOptions horizontalCentered="1"/>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sheetPr>
  <dimension ref="B2:NE42"/>
  <sheetViews>
    <sheetView zoomScaleNormal="100" workbookViewId="0">
      <pane xSplit="4" ySplit="3" topLeftCell="E4" activePane="bottomRight" state="frozen"/>
      <selection activeCell="I22" sqref="I22"/>
      <selection pane="topRight" activeCell="I22" sqref="I22"/>
      <selection pane="bottomLeft" activeCell="I22" sqref="I22"/>
      <selection pane="bottomRight" activeCell="B2" sqref="B2"/>
    </sheetView>
  </sheetViews>
  <sheetFormatPr defaultColWidth="4.140625" defaultRowHeight="15" x14ac:dyDescent="0.25"/>
  <cols>
    <col min="2" max="2" width="20.28515625" style="8" customWidth="1"/>
    <col min="3" max="4" width="5.7109375" style="8" customWidth="1"/>
    <col min="5" max="304" width="4.140625" style="8"/>
    <col min="305" max="305" width="4.140625" style="8" customWidth="1"/>
    <col min="306" max="369" width="4.140625" style="8"/>
  </cols>
  <sheetData>
    <row r="2" spans="2:369" ht="61.5" x14ac:dyDescent="0.25">
      <c r="C2" s="145" t="s">
        <v>10</v>
      </c>
      <c r="D2" s="145" t="s">
        <v>80</v>
      </c>
      <c r="E2" s="146">
        <v>44053</v>
      </c>
      <c r="F2" s="147">
        <f>IF(AND(WEEKDAY(E2)&gt;=1,WEEKDAY(E2)&lt;=5),E2+1,E2+3)</f>
        <v>44054</v>
      </c>
      <c r="G2" s="147">
        <f t="shared" ref="G2:BR2" si="0">IF(AND(WEEKDAY(F2)&gt;=1,WEEKDAY(F2)&lt;=5),F2+1,F2+3)</f>
        <v>44055</v>
      </c>
      <c r="H2" s="147">
        <f t="shared" si="0"/>
        <v>44056</v>
      </c>
      <c r="I2" s="147">
        <f t="shared" si="0"/>
        <v>44057</v>
      </c>
      <c r="J2" s="147">
        <f t="shared" si="0"/>
        <v>44060</v>
      </c>
      <c r="K2" s="147">
        <f t="shared" si="0"/>
        <v>44061</v>
      </c>
      <c r="L2" s="147">
        <f t="shared" si="0"/>
        <v>44062</v>
      </c>
      <c r="M2" s="147">
        <f t="shared" si="0"/>
        <v>44063</v>
      </c>
      <c r="N2" s="147">
        <f t="shared" si="0"/>
        <v>44064</v>
      </c>
      <c r="O2" s="147">
        <f t="shared" si="0"/>
        <v>44067</v>
      </c>
      <c r="P2" s="147">
        <f t="shared" si="0"/>
        <v>44068</v>
      </c>
      <c r="Q2" s="147">
        <f t="shared" si="0"/>
        <v>44069</v>
      </c>
      <c r="R2" s="147">
        <f t="shared" si="0"/>
        <v>44070</v>
      </c>
      <c r="S2" s="147">
        <f t="shared" si="0"/>
        <v>44071</v>
      </c>
      <c r="T2" s="147">
        <f t="shared" si="0"/>
        <v>44074</v>
      </c>
      <c r="U2" s="147">
        <f t="shared" si="0"/>
        <v>44075</v>
      </c>
      <c r="V2" s="147">
        <f t="shared" si="0"/>
        <v>44076</v>
      </c>
      <c r="W2" s="147">
        <f t="shared" si="0"/>
        <v>44077</v>
      </c>
      <c r="X2" s="147">
        <f t="shared" si="0"/>
        <v>44078</v>
      </c>
      <c r="Y2" s="147">
        <f t="shared" si="0"/>
        <v>44081</v>
      </c>
      <c r="Z2" s="147">
        <f t="shared" si="0"/>
        <v>44082</v>
      </c>
      <c r="AA2" s="147">
        <f t="shared" si="0"/>
        <v>44083</v>
      </c>
      <c r="AB2" s="147">
        <f t="shared" si="0"/>
        <v>44084</v>
      </c>
      <c r="AC2" s="147">
        <f t="shared" si="0"/>
        <v>44085</v>
      </c>
      <c r="AD2" s="147">
        <f t="shared" si="0"/>
        <v>44088</v>
      </c>
      <c r="AE2" s="147">
        <f t="shared" si="0"/>
        <v>44089</v>
      </c>
      <c r="AF2" s="147">
        <f t="shared" si="0"/>
        <v>44090</v>
      </c>
      <c r="AG2" s="147">
        <f t="shared" si="0"/>
        <v>44091</v>
      </c>
      <c r="AH2" s="147">
        <f t="shared" si="0"/>
        <v>44092</v>
      </c>
      <c r="AI2" s="147">
        <f t="shared" si="0"/>
        <v>44095</v>
      </c>
      <c r="AJ2" s="147">
        <f t="shared" si="0"/>
        <v>44096</v>
      </c>
      <c r="AK2" s="147">
        <f t="shared" si="0"/>
        <v>44097</v>
      </c>
      <c r="AL2" s="147">
        <f t="shared" si="0"/>
        <v>44098</v>
      </c>
      <c r="AM2" s="147">
        <f t="shared" si="0"/>
        <v>44099</v>
      </c>
      <c r="AN2" s="147">
        <f t="shared" si="0"/>
        <v>44102</v>
      </c>
      <c r="AO2" s="147">
        <f t="shared" si="0"/>
        <v>44103</v>
      </c>
      <c r="AP2" s="147">
        <f t="shared" si="0"/>
        <v>44104</v>
      </c>
      <c r="AQ2" s="147">
        <f t="shared" si="0"/>
        <v>44105</v>
      </c>
      <c r="AR2" s="147">
        <f t="shared" si="0"/>
        <v>44106</v>
      </c>
      <c r="AS2" s="147">
        <f t="shared" si="0"/>
        <v>44109</v>
      </c>
      <c r="AT2" s="147">
        <f t="shared" si="0"/>
        <v>44110</v>
      </c>
      <c r="AU2" s="147">
        <f t="shared" si="0"/>
        <v>44111</v>
      </c>
      <c r="AV2" s="147">
        <f t="shared" si="0"/>
        <v>44112</v>
      </c>
      <c r="AW2" s="147">
        <f t="shared" si="0"/>
        <v>44113</v>
      </c>
      <c r="AX2" s="147">
        <f t="shared" si="0"/>
        <v>44116</v>
      </c>
      <c r="AY2" s="147">
        <f t="shared" si="0"/>
        <v>44117</v>
      </c>
      <c r="AZ2" s="147">
        <f t="shared" si="0"/>
        <v>44118</v>
      </c>
      <c r="BA2" s="147">
        <f t="shared" si="0"/>
        <v>44119</v>
      </c>
      <c r="BB2" s="147">
        <f t="shared" si="0"/>
        <v>44120</v>
      </c>
      <c r="BC2" s="147">
        <f t="shared" si="0"/>
        <v>44123</v>
      </c>
      <c r="BD2" s="147">
        <f t="shared" si="0"/>
        <v>44124</v>
      </c>
      <c r="BE2" s="147">
        <f t="shared" si="0"/>
        <v>44125</v>
      </c>
      <c r="BF2" s="147">
        <f t="shared" si="0"/>
        <v>44126</v>
      </c>
      <c r="BG2" s="147">
        <f t="shared" si="0"/>
        <v>44127</v>
      </c>
      <c r="BH2" s="147">
        <f t="shared" si="0"/>
        <v>44130</v>
      </c>
      <c r="BI2" s="147">
        <f t="shared" si="0"/>
        <v>44131</v>
      </c>
      <c r="BJ2" s="147">
        <f t="shared" si="0"/>
        <v>44132</v>
      </c>
      <c r="BK2" s="147">
        <f t="shared" si="0"/>
        <v>44133</v>
      </c>
      <c r="BL2" s="147">
        <f t="shared" si="0"/>
        <v>44134</v>
      </c>
      <c r="BM2" s="147">
        <f t="shared" si="0"/>
        <v>44137</v>
      </c>
      <c r="BN2" s="147">
        <f t="shared" si="0"/>
        <v>44138</v>
      </c>
      <c r="BO2" s="147">
        <f t="shared" si="0"/>
        <v>44139</v>
      </c>
      <c r="BP2" s="147">
        <f t="shared" si="0"/>
        <v>44140</v>
      </c>
      <c r="BQ2" s="147">
        <f t="shared" si="0"/>
        <v>44141</v>
      </c>
      <c r="BR2" s="147">
        <f t="shared" si="0"/>
        <v>44144</v>
      </c>
      <c r="BS2" s="147">
        <f t="shared" ref="BS2:ED2" si="1">IF(AND(WEEKDAY(BR2)&gt;=1,WEEKDAY(BR2)&lt;=5),BR2+1,BR2+3)</f>
        <v>44145</v>
      </c>
      <c r="BT2" s="147">
        <f t="shared" si="1"/>
        <v>44146</v>
      </c>
      <c r="BU2" s="147">
        <f t="shared" si="1"/>
        <v>44147</v>
      </c>
      <c r="BV2" s="147">
        <f t="shared" si="1"/>
        <v>44148</v>
      </c>
      <c r="BW2" s="147">
        <f t="shared" si="1"/>
        <v>44151</v>
      </c>
      <c r="BX2" s="147">
        <f t="shared" si="1"/>
        <v>44152</v>
      </c>
      <c r="BY2" s="147">
        <f t="shared" si="1"/>
        <v>44153</v>
      </c>
      <c r="BZ2" s="147">
        <f t="shared" si="1"/>
        <v>44154</v>
      </c>
      <c r="CA2" s="147">
        <f t="shared" si="1"/>
        <v>44155</v>
      </c>
      <c r="CB2" s="147">
        <f t="shared" si="1"/>
        <v>44158</v>
      </c>
      <c r="CC2" s="147">
        <f t="shared" si="1"/>
        <v>44159</v>
      </c>
      <c r="CD2" s="147">
        <f t="shared" si="1"/>
        <v>44160</v>
      </c>
      <c r="CE2" s="147">
        <f t="shared" si="1"/>
        <v>44161</v>
      </c>
      <c r="CF2" s="147">
        <f t="shared" si="1"/>
        <v>44162</v>
      </c>
      <c r="CG2" s="147">
        <f t="shared" si="1"/>
        <v>44165</v>
      </c>
      <c r="CH2" s="147">
        <f t="shared" si="1"/>
        <v>44166</v>
      </c>
      <c r="CI2" s="147">
        <f t="shared" si="1"/>
        <v>44167</v>
      </c>
      <c r="CJ2" s="147">
        <f t="shared" si="1"/>
        <v>44168</v>
      </c>
      <c r="CK2" s="147">
        <f t="shared" si="1"/>
        <v>44169</v>
      </c>
      <c r="CL2" s="147">
        <f t="shared" si="1"/>
        <v>44172</v>
      </c>
      <c r="CM2" s="147">
        <f t="shared" si="1"/>
        <v>44173</v>
      </c>
      <c r="CN2" s="147">
        <f t="shared" si="1"/>
        <v>44174</v>
      </c>
      <c r="CO2" s="147">
        <f t="shared" si="1"/>
        <v>44175</v>
      </c>
      <c r="CP2" s="147">
        <f t="shared" si="1"/>
        <v>44176</v>
      </c>
      <c r="CQ2" s="147">
        <f t="shared" si="1"/>
        <v>44179</v>
      </c>
      <c r="CR2" s="147">
        <f t="shared" si="1"/>
        <v>44180</v>
      </c>
      <c r="CS2" s="147">
        <f t="shared" si="1"/>
        <v>44181</v>
      </c>
      <c r="CT2" s="147">
        <f t="shared" si="1"/>
        <v>44182</v>
      </c>
      <c r="CU2" s="147">
        <f t="shared" si="1"/>
        <v>44183</v>
      </c>
      <c r="CV2" s="147">
        <f t="shared" si="1"/>
        <v>44186</v>
      </c>
      <c r="CW2" s="147">
        <f t="shared" si="1"/>
        <v>44187</v>
      </c>
      <c r="CX2" s="147">
        <f t="shared" si="1"/>
        <v>44188</v>
      </c>
      <c r="CY2" s="147">
        <f t="shared" si="1"/>
        <v>44189</v>
      </c>
      <c r="CZ2" s="147">
        <f t="shared" si="1"/>
        <v>44190</v>
      </c>
      <c r="DA2" s="147">
        <f t="shared" si="1"/>
        <v>44193</v>
      </c>
      <c r="DB2" s="147">
        <f t="shared" si="1"/>
        <v>44194</v>
      </c>
      <c r="DC2" s="147">
        <f t="shared" si="1"/>
        <v>44195</v>
      </c>
      <c r="DD2" s="147">
        <f t="shared" si="1"/>
        <v>44196</v>
      </c>
      <c r="DE2" s="147">
        <f t="shared" si="1"/>
        <v>44197</v>
      </c>
      <c r="DF2" s="147">
        <f t="shared" si="1"/>
        <v>44200</v>
      </c>
      <c r="DG2" s="147">
        <f t="shared" si="1"/>
        <v>44201</v>
      </c>
      <c r="DH2" s="147">
        <f t="shared" si="1"/>
        <v>44202</v>
      </c>
      <c r="DI2" s="147">
        <f t="shared" si="1"/>
        <v>44203</v>
      </c>
      <c r="DJ2" s="147">
        <f t="shared" si="1"/>
        <v>44204</v>
      </c>
      <c r="DK2" s="147">
        <f t="shared" si="1"/>
        <v>44207</v>
      </c>
      <c r="DL2" s="147">
        <f t="shared" si="1"/>
        <v>44208</v>
      </c>
      <c r="DM2" s="147">
        <f t="shared" si="1"/>
        <v>44209</v>
      </c>
      <c r="DN2" s="147">
        <f t="shared" si="1"/>
        <v>44210</v>
      </c>
      <c r="DO2" s="147">
        <f t="shared" si="1"/>
        <v>44211</v>
      </c>
      <c r="DP2" s="147">
        <f t="shared" si="1"/>
        <v>44214</v>
      </c>
      <c r="DQ2" s="147">
        <f t="shared" si="1"/>
        <v>44215</v>
      </c>
      <c r="DR2" s="147">
        <f t="shared" si="1"/>
        <v>44216</v>
      </c>
      <c r="DS2" s="147">
        <f t="shared" si="1"/>
        <v>44217</v>
      </c>
      <c r="DT2" s="147">
        <f t="shared" si="1"/>
        <v>44218</v>
      </c>
      <c r="DU2" s="147">
        <f t="shared" si="1"/>
        <v>44221</v>
      </c>
      <c r="DV2" s="147">
        <f t="shared" si="1"/>
        <v>44222</v>
      </c>
      <c r="DW2" s="147">
        <f t="shared" si="1"/>
        <v>44223</v>
      </c>
      <c r="DX2" s="147">
        <f t="shared" si="1"/>
        <v>44224</v>
      </c>
      <c r="DY2" s="147">
        <f t="shared" si="1"/>
        <v>44225</v>
      </c>
      <c r="DZ2" s="147">
        <f t="shared" si="1"/>
        <v>44228</v>
      </c>
      <c r="EA2" s="147">
        <f t="shared" si="1"/>
        <v>44229</v>
      </c>
      <c r="EB2" s="147">
        <f t="shared" si="1"/>
        <v>44230</v>
      </c>
      <c r="EC2" s="147">
        <f t="shared" si="1"/>
        <v>44231</v>
      </c>
      <c r="ED2" s="147">
        <f t="shared" si="1"/>
        <v>44232</v>
      </c>
      <c r="EE2" s="147">
        <f t="shared" ref="EE2:GP2" si="2">IF(AND(WEEKDAY(ED2)&gt;=1,WEEKDAY(ED2)&lt;=5),ED2+1,ED2+3)</f>
        <v>44235</v>
      </c>
      <c r="EF2" s="147">
        <f t="shared" si="2"/>
        <v>44236</v>
      </c>
      <c r="EG2" s="147">
        <f t="shared" si="2"/>
        <v>44237</v>
      </c>
      <c r="EH2" s="147">
        <f t="shared" si="2"/>
        <v>44238</v>
      </c>
      <c r="EI2" s="147">
        <f t="shared" si="2"/>
        <v>44239</v>
      </c>
      <c r="EJ2" s="147">
        <f t="shared" si="2"/>
        <v>44242</v>
      </c>
      <c r="EK2" s="147">
        <f t="shared" si="2"/>
        <v>44243</v>
      </c>
      <c r="EL2" s="147">
        <f t="shared" si="2"/>
        <v>44244</v>
      </c>
      <c r="EM2" s="147">
        <f t="shared" si="2"/>
        <v>44245</v>
      </c>
      <c r="EN2" s="147">
        <f t="shared" si="2"/>
        <v>44246</v>
      </c>
      <c r="EO2" s="147">
        <f t="shared" si="2"/>
        <v>44249</v>
      </c>
      <c r="EP2" s="147">
        <f t="shared" si="2"/>
        <v>44250</v>
      </c>
      <c r="EQ2" s="147">
        <f t="shared" si="2"/>
        <v>44251</v>
      </c>
      <c r="ER2" s="147">
        <f t="shared" si="2"/>
        <v>44252</v>
      </c>
      <c r="ES2" s="147">
        <f t="shared" si="2"/>
        <v>44253</v>
      </c>
      <c r="ET2" s="147">
        <f t="shared" si="2"/>
        <v>44256</v>
      </c>
      <c r="EU2" s="147">
        <f t="shared" si="2"/>
        <v>44257</v>
      </c>
      <c r="EV2" s="147">
        <f t="shared" si="2"/>
        <v>44258</v>
      </c>
      <c r="EW2" s="147">
        <f t="shared" si="2"/>
        <v>44259</v>
      </c>
      <c r="EX2" s="147">
        <f t="shared" si="2"/>
        <v>44260</v>
      </c>
      <c r="EY2" s="147">
        <f t="shared" si="2"/>
        <v>44263</v>
      </c>
      <c r="EZ2" s="147">
        <f t="shared" si="2"/>
        <v>44264</v>
      </c>
      <c r="FA2" s="147">
        <f t="shared" si="2"/>
        <v>44265</v>
      </c>
      <c r="FB2" s="147">
        <f t="shared" si="2"/>
        <v>44266</v>
      </c>
      <c r="FC2" s="147">
        <f t="shared" si="2"/>
        <v>44267</v>
      </c>
      <c r="FD2" s="147">
        <f t="shared" si="2"/>
        <v>44270</v>
      </c>
      <c r="FE2" s="147">
        <f t="shared" si="2"/>
        <v>44271</v>
      </c>
      <c r="FF2" s="147">
        <f t="shared" si="2"/>
        <v>44272</v>
      </c>
      <c r="FG2" s="147">
        <f t="shared" si="2"/>
        <v>44273</v>
      </c>
      <c r="FH2" s="147">
        <f t="shared" si="2"/>
        <v>44274</v>
      </c>
      <c r="FI2" s="147">
        <f t="shared" si="2"/>
        <v>44277</v>
      </c>
      <c r="FJ2" s="147">
        <f t="shared" si="2"/>
        <v>44278</v>
      </c>
      <c r="FK2" s="147">
        <f t="shared" si="2"/>
        <v>44279</v>
      </c>
      <c r="FL2" s="147">
        <f t="shared" si="2"/>
        <v>44280</v>
      </c>
      <c r="FM2" s="147">
        <f t="shared" si="2"/>
        <v>44281</v>
      </c>
      <c r="FN2" s="147">
        <f t="shared" si="2"/>
        <v>44284</v>
      </c>
      <c r="FO2" s="147">
        <f t="shared" si="2"/>
        <v>44285</v>
      </c>
      <c r="FP2" s="147">
        <f t="shared" si="2"/>
        <v>44286</v>
      </c>
      <c r="FQ2" s="147">
        <f t="shared" si="2"/>
        <v>44287</v>
      </c>
      <c r="FR2" s="147">
        <f t="shared" si="2"/>
        <v>44288</v>
      </c>
      <c r="FS2" s="147">
        <f t="shared" si="2"/>
        <v>44291</v>
      </c>
      <c r="FT2" s="147">
        <f t="shared" si="2"/>
        <v>44292</v>
      </c>
      <c r="FU2" s="147">
        <f t="shared" si="2"/>
        <v>44293</v>
      </c>
      <c r="FV2" s="147">
        <f t="shared" si="2"/>
        <v>44294</v>
      </c>
      <c r="FW2" s="147">
        <f t="shared" si="2"/>
        <v>44295</v>
      </c>
      <c r="FX2" s="147">
        <f t="shared" si="2"/>
        <v>44298</v>
      </c>
      <c r="FY2" s="147">
        <f t="shared" si="2"/>
        <v>44299</v>
      </c>
      <c r="FZ2" s="147">
        <f t="shared" si="2"/>
        <v>44300</v>
      </c>
      <c r="GA2" s="147">
        <f t="shared" si="2"/>
        <v>44301</v>
      </c>
      <c r="GB2" s="147">
        <f t="shared" si="2"/>
        <v>44302</v>
      </c>
      <c r="GC2" s="147">
        <f t="shared" si="2"/>
        <v>44305</v>
      </c>
      <c r="GD2" s="147">
        <f t="shared" si="2"/>
        <v>44306</v>
      </c>
      <c r="GE2" s="147">
        <f t="shared" si="2"/>
        <v>44307</v>
      </c>
      <c r="GF2" s="147">
        <f t="shared" si="2"/>
        <v>44308</v>
      </c>
      <c r="GG2" s="147">
        <f t="shared" si="2"/>
        <v>44309</v>
      </c>
      <c r="GH2" s="147">
        <f t="shared" si="2"/>
        <v>44312</v>
      </c>
      <c r="GI2" s="147">
        <f t="shared" si="2"/>
        <v>44313</v>
      </c>
      <c r="GJ2" s="147">
        <f t="shared" si="2"/>
        <v>44314</v>
      </c>
      <c r="GK2" s="147">
        <f t="shared" si="2"/>
        <v>44315</v>
      </c>
      <c r="GL2" s="147">
        <f t="shared" si="2"/>
        <v>44316</v>
      </c>
      <c r="GM2" s="147">
        <f t="shared" si="2"/>
        <v>44319</v>
      </c>
      <c r="GN2" s="147">
        <f t="shared" si="2"/>
        <v>44320</v>
      </c>
      <c r="GO2" s="147">
        <f t="shared" si="2"/>
        <v>44321</v>
      </c>
      <c r="GP2" s="147">
        <f t="shared" si="2"/>
        <v>44322</v>
      </c>
      <c r="GQ2" s="147">
        <f t="shared" ref="GQ2:JB2" si="3">IF(AND(WEEKDAY(GP2)&gt;=1,WEEKDAY(GP2)&lt;=5),GP2+1,GP2+3)</f>
        <v>44323</v>
      </c>
      <c r="GR2" s="147">
        <f t="shared" si="3"/>
        <v>44326</v>
      </c>
      <c r="GS2" s="147">
        <f t="shared" si="3"/>
        <v>44327</v>
      </c>
      <c r="GT2" s="147">
        <f t="shared" si="3"/>
        <v>44328</v>
      </c>
      <c r="GU2" s="147">
        <f t="shared" si="3"/>
        <v>44329</v>
      </c>
      <c r="GV2" s="147">
        <f t="shared" si="3"/>
        <v>44330</v>
      </c>
      <c r="GW2" s="147">
        <f t="shared" si="3"/>
        <v>44333</v>
      </c>
      <c r="GX2" s="147">
        <f t="shared" si="3"/>
        <v>44334</v>
      </c>
      <c r="GY2" s="147">
        <f t="shared" si="3"/>
        <v>44335</v>
      </c>
      <c r="GZ2" s="147">
        <f t="shared" si="3"/>
        <v>44336</v>
      </c>
      <c r="HA2" s="147">
        <f t="shared" si="3"/>
        <v>44337</v>
      </c>
      <c r="HB2" s="147">
        <f t="shared" si="3"/>
        <v>44340</v>
      </c>
      <c r="HC2" s="147">
        <f t="shared" si="3"/>
        <v>44341</v>
      </c>
      <c r="HD2" s="147">
        <f t="shared" si="3"/>
        <v>44342</v>
      </c>
      <c r="HE2" s="147">
        <f t="shared" si="3"/>
        <v>44343</v>
      </c>
      <c r="HF2" s="147">
        <f t="shared" si="3"/>
        <v>44344</v>
      </c>
      <c r="HG2" s="147">
        <f t="shared" si="3"/>
        <v>44347</v>
      </c>
      <c r="HH2" s="147">
        <f t="shared" si="3"/>
        <v>44348</v>
      </c>
      <c r="HI2" s="147">
        <f t="shared" si="3"/>
        <v>44349</v>
      </c>
      <c r="HJ2" s="147">
        <f t="shared" si="3"/>
        <v>44350</v>
      </c>
      <c r="HK2" s="147">
        <f t="shared" si="3"/>
        <v>44351</v>
      </c>
      <c r="HL2" s="147">
        <f t="shared" si="3"/>
        <v>44354</v>
      </c>
      <c r="HM2" s="147">
        <f t="shared" si="3"/>
        <v>44355</v>
      </c>
      <c r="HN2" s="147">
        <f t="shared" si="3"/>
        <v>44356</v>
      </c>
      <c r="HO2" s="147">
        <f t="shared" si="3"/>
        <v>44357</v>
      </c>
      <c r="HP2" s="147">
        <f t="shared" si="3"/>
        <v>44358</v>
      </c>
      <c r="HQ2" s="147">
        <f t="shared" si="3"/>
        <v>44361</v>
      </c>
      <c r="HR2" s="147">
        <f t="shared" si="3"/>
        <v>44362</v>
      </c>
      <c r="HS2" s="147">
        <f t="shared" si="3"/>
        <v>44363</v>
      </c>
      <c r="HT2" s="147">
        <f t="shared" si="3"/>
        <v>44364</v>
      </c>
      <c r="HU2" s="147">
        <f t="shared" si="3"/>
        <v>44365</v>
      </c>
      <c r="HV2" s="147">
        <f t="shared" si="3"/>
        <v>44368</v>
      </c>
      <c r="HW2" s="147">
        <f t="shared" si="3"/>
        <v>44369</v>
      </c>
      <c r="HX2" s="147">
        <f t="shared" si="3"/>
        <v>44370</v>
      </c>
      <c r="HY2" s="147">
        <f t="shared" si="3"/>
        <v>44371</v>
      </c>
      <c r="HZ2" s="147">
        <f t="shared" si="3"/>
        <v>44372</v>
      </c>
      <c r="IA2" s="147">
        <f t="shared" si="3"/>
        <v>44375</v>
      </c>
      <c r="IB2" s="147">
        <f t="shared" si="3"/>
        <v>44376</v>
      </c>
      <c r="IC2" s="147">
        <f t="shared" si="3"/>
        <v>44377</v>
      </c>
      <c r="ID2" s="147">
        <f t="shared" si="3"/>
        <v>44378</v>
      </c>
      <c r="IE2" s="147">
        <f t="shared" si="3"/>
        <v>44379</v>
      </c>
      <c r="IF2" s="147">
        <f t="shared" si="3"/>
        <v>44382</v>
      </c>
      <c r="IG2" s="147">
        <f t="shared" si="3"/>
        <v>44383</v>
      </c>
      <c r="IH2" s="147">
        <f t="shared" si="3"/>
        <v>44384</v>
      </c>
      <c r="II2" s="147">
        <f t="shared" si="3"/>
        <v>44385</v>
      </c>
      <c r="IJ2" s="147">
        <f t="shared" si="3"/>
        <v>44386</v>
      </c>
      <c r="IK2" s="147">
        <f t="shared" si="3"/>
        <v>44389</v>
      </c>
      <c r="IL2" s="147">
        <f t="shared" si="3"/>
        <v>44390</v>
      </c>
      <c r="IM2" s="147">
        <f t="shared" si="3"/>
        <v>44391</v>
      </c>
      <c r="IN2" s="147">
        <f t="shared" si="3"/>
        <v>44392</v>
      </c>
      <c r="IO2" s="147">
        <f t="shared" si="3"/>
        <v>44393</v>
      </c>
      <c r="IP2" s="147">
        <f t="shared" si="3"/>
        <v>44396</v>
      </c>
      <c r="IQ2" s="147">
        <f t="shared" si="3"/>
        <v>44397</v>
      </c>
      <c r="IR2" s="147">
        <f t="shared" si="3"/>
        <v>44398</v>
      </c>
      <c r="IS2" s="147">
        <f t="shared" si="3"/>
        <v>44399</v>
      </c>
      <c r="IT2" s="147">
        <f t="shared" si="3"/>
        <v>44400</v>
      </c>
      <c r="IU2" s="147">
        <f t="shared" si="3"/>
        <v>44403</v>
      </c>
      <c r="IV2" s="147">
        <f t="shared" si="3"/>
        <v>44404</v>
      </c>
      <c r="IW2" s="147">
        <f t="shared" si="3"/>
        <v>44405</v>
      </c>
      <c r="IX2" s="147">
        <f t="shared" si="3"/>
        <v>44406</v>
      </c>
      <c r="IY2" s="147">
        <f t="shared" si="3"/>
        <v>44407</v>
      </c>
      <c r="IZ2" s="147">
        <f t="shared" si="3"/>
        <v>44410</v>
      </c>
      <c r="JA2" s="147">
        <f t="shared" si="3"/>
        <v>44411</v>
      </c>
      <c r="JB2" s="147">
        <f t="shared" si="3"/>
        <v>44412</v>
      </c>
      <c r="JC2" s="147">
        <f t="shared" ref="JC2:LN2" si="4">IF(AND(WEEKDAY(JB2)&gt;=1,WEEKDAY(JB2)&lt;=5),JB2+1,JB2+3)</f>
        <v>44413</v>
      </c>
      <c r="JD2" s="147">
        <f t="shared" si="4"/>
        <v>44414</v>
      </c>
      <c r="JE2" s="147">
        <f t="shared" si="4"/>
        <v>44417</v>
      </c>
      <c r="JF2" s="147">
        <f t="shared" si="4"/>
        <v>44418</v>
      </c>
      <c r="JG2" s="147">
        <f t="shared" si="4"/>
        <v>44419</v>
      </c>
      <c r="JH2" s="147">
        <f t="shared" si="4"/>
        <v>44420</v>
      </c>
      <c r="JI2" s="147">
        <f t="shared" si="4"/>
        <v>44421</v>
      </c>
      <c r="JJ2" s="147">
        <f t="shared" si="4"/>
        <v>44424</v>
      </c>
      <c r="JK2" s="147">
        <f t="shared" si="4"/>
        <v>44425</v>
      </c>
      <c r="JL2" s="147">
        <f t="shared" si="4"/>
        <v>44426</v>
      </c>
      <c r="JM2" s="147">
        <f t="shared" si="4"/>
        <v>44427</v>
      </c>
      <c r="JN2" s="147">
        <f t="shared" si="4"/>
        <v>44428</v>
      </c>
      <c r="JO2" s="147">
        <f t="shared" si="4"/>
        <v>44431</v>
      </c>
      <c r="JP2" s="147">
        <f t="shared" si="4"/>
        <v>44432</v>
      </c>
      <c r="JQ2" s="147">
        <f t="shared" si="4"/>
        <v>44433</v>
      </c>
      <c r="JR2" s="147">
        <f t="shared" si="4"/>
        <v>44434</v>
      </c>
      <c r="JS2" s="147">
        <f t="shared" si="4"/>
        <v>44435</v>
      </c>
      <c r="JT2" s="147">
        <f t="shared" si="4"/>
        <v>44438</v>
      </c>
      <c r="JU2" s="147">
        <f t="shared" si="4"/>
        <v>44439</v>
      </c>
      <c r="JV2" s="147">
        <f t="shared" si="4"/>
        <v>44440</v>
      </c>
      <c r="JW2" s="147">
        <f t="shared" si="4"/>
        <v>44441</v>
      </c>
      <c r="JX2" s="147">
        <f t="shared" si="4"/>
        <v>44442</v>
      </c>
      <c r="JY2" s="147">
        <f t="shared" si="4"/>
        <v>44445</v>
      </c>
      <c r="JZ2" s="147">
        <f t="shared" si="4"/>
        <v>44446</v>
      </c>
      <c r="KA2" s="147">
        <f t="shared" si="4"/>
        <v>44447</v>
      </c>
      <c r="KB2" s="147">
        <f t="shared" si="4"/>
        <v>44448</v>
      </c>
      <c r="KC2" s="147">
        <f t="shared" si="4"/>
        <v>44449</v>
      </c>
      <c r="KD2" s="147">
        <f t="shared" si="4"/>
        <v>44452</v>
      </c>
      <c r="KE2" s="147">
        <f t="shared" si="4"/>
        <v>44453</v>
      </c>
      <c r="KF2" s="147">
        <f t="shared" si="4"/>
        <v>44454</v>
      </c>
      <c r="KG2" s="147">
        <f t="shared" si="4"/>
        <v>44455</v>
      </c>
      <c r="KH2" s="147">
        <f t="shared" si="4"/>
        <v>44456</v>
      </c>
      <c r="KI2" s="147">
        <f t="shared" si="4"/>
        <v>44459</v>
      </c>
      <c r="KJ2" s="147">
        <f t="shared" si="4"/>
        <v>44460</v>
      </c>
      <c r="KK2" s="147">
        <f t="shared" si="4"/>
        <v>44461</v>
      </c>
      <c r="KL2" s="147">
        <f t="shared" si="4"/>
        <v>44462</v>
      </c>
      <c r="KM2" s="147">
        <f t="shared" si="4"/>
        <v>44463</v>
      </c>
      <c r="KN2" s="147">
        <f t="shared" si="4"/>
        <v>44466</v>
      </c>
      <c r="KO2" s="147">
        <f t="shared" si="4"/>
        <v>44467</v>
      </c>
      <c r="KP2" s="147">
        <f t="shared" si="4"/>
        <v>44468</v>
      </c>
      <c r="KQ2" s="147">
        <f t="shared" si="4"/>
        <v>44469</v>
      </c>
      <c r="KR2" s="147">
        <f t="shared" si="4"/>
        <v>44470</v>
      </c>
      <c r="KS2" s="147">
        <f t="shared" si="4"/>
        <v>44473</v>
      </c>
      <c r="KT2" s="147">
        <f t="shared" si="4"/>
        <v>44474</v>
      </c>
      <c r="KU2" s="147">
        <f t="shared" si="4"/>
        <v>44475</v>
      </c>
      <c r="KV2" s="147">
        <f t="shared" si="4"/>
        <v>44476</v>
      </c>
      <c r="KW2" s="147">
        <f t="shared" si="4"/>
        <v>44477</v>
      </c>
      <c r="KX2" s="147">
        <f t="shared" si="4"/>
        <v>44480</v>
      </c>
      <c r="KY2" s="147">
        <f t="shared" si="4"/>
        <v>44481</v>
      </c>
      <c r="KZ2" s="147">
        <f t="shared" si="4"/>
        <v>44482</v>
      </c>
      <c r="LA2" s="147">
        <f t="shared" si="4"/>
        <v>44483</v>
      </c>
      <c r="LB2" s="147">
        <f t="shared" si="4"/>
        <v>44484</v>
      </c>
      <c r="LC2" s="147">
        <f t="shared" si="4"/>
        <v>44487</v>
      </c>
      <c r="LD2" s="147">
        <f t="shared" si="4"/>
        <v>44488</v>
      </c>
      <c r="LE2" s="147">
        <f t="shared" si="4"/>
        <v>44489</v>
      </c>
      <c r="LF2" s="147">
        <f t="shared" si="4"/>
        <v>44490</v>
      </c>
      <c r="LG2" s="147">
        <f t="shared" si="4"/>
        <v>44491</v>
      </c>
      <c r="LH2" s="147">
        <f t="shared" si="4"/>
        <v>44494</v>
      </c>
      <c r="LI2" s="147">
        <f t="shared" si="4"/>
        <v>44495</v>
      </c>
      <c r="LJ2" s="147">
        <f t="shared" si="4"/>
        <v>44496</v>
      </c>
      <c r="LK2" s="147">
        <f t="shared" si="4"/>
        <v>44497</v>
      </c>
      <c r="LL2" s="147">
        <f t="shared" si="4"/>
        <v>44498</v>
      </c>
      <c r="LM2" s="147">
        <f t="shared" si="4"/>
        <v>44501</v>
      </c>
      <c r="LN2" s="147">
        <f t="shared" si="4"/>
        <v>44502</v>
      </c>
      <c r="LO2" s="147">
        <f t="shared" ref="LO2:NE2" si="5">IF(AND(WEEKDAY(LN2)&gt;=1,WEEKDAY(LN2)&lt;=5),LN2+1,LN2+3)</f>
        <v>44503</v>
      </c>
      <c r="LP2" s="147">
        <f t="shared" si="5"/>
        <v>44504</v>
      </c>
      <c r="LQ2" s="147">
        <f t="shared" si="5"/>
        <v>44505</v>
      </c>
      <c r="LR2" s="147">
        <f t="shared" si="5"/>
        <v>44508</v>
      </c>
      <c r="LS2" s="147">
        <f t="shared" si="5"/>
        <v>44509</v>
      </c>
      <c r="LT2" s="147">
        <f t="shared" si="5"/>
        <v>44510</v>
      </c>
      <c r="LU2" s="147">
        <f t="shared" si="5"/>
        <v>44511</v>
      </c>
      <c r="LV2" s="147">
        <f t="shared" si="5"/>
        <v>44512</v>
      </c>
      <c r="LW2" s="147">
        <f t="shared" si="5"/>
        <v>44515</v>
      </c>
      <c r="LX2" s="147">
        <f t="shared" si="5"/>
        <v>44516</v>
      </c>
      <c r="LY2" s="147">
        <f t="shared" si="5"/>
        <v>44517</v>
      </c>
      <c r="LZ2" s="147">
        <f t="shared" si="5"/>
        <v>44518</v>
      </c>
      <c r="MA2" s="147">
        <f t="shared" si="5"/>
        <v>44519</v>
      </c>
      <c r="MB2" s="147">
        <f t="shared" si="5"/>
        <v>44522</v>
      </c>
      <c r="MC2" s="147">
        <f t="shared" si="5"/>
        <v>44523</v>
      </c>
      <c r="MD2" s="147">
        <f t="shared" si="5"/>
        <v>44524</v>
      </c>
      <c r="ME2" s="147">
        <f t="shared" si="5"/>
        <v>44525</v>
      </c>
      <c r="MF2" s="147">
        <f t="shared" si="5"/>
        <v>44526</v>
      </c>
      <c r="MG2" s="147">
        <f t="shared" si="5"/>
        <v>44529</v>
      </c>
      <c r="MH2" s="147">
        <f t="shared" si="5"/>
        <v>44530</v>
      </c>
      <c r="MI2" s="147">
        <f t="shared" si="5"/>
        <v>44531</v>
      </c>
      <c r="MJ2" s="147">
        <f t="shared" si="5"/>
        <v>44532</v>
      </c>
      <c r="MK2" s="147">
        <f t="shared" si="5"/>
        <v>44533</v>
      </c>
      <c r="ML2" s="147">
        <f t="shared" si="5"/>
        <v>44536</v>
      </c>
      <c r="MM2" s="147">
        <f t="shared" si="5"/>
        <v>44537</v>
      </c>
      <c r="MN2" s="147">
        <f t="shared" si="5"/>
        <v>44538</v>
      </c>
      <c r="MO2" s="147">
        <f t="shared" si="5"/>
        <v>44539</v>
      </c>
      <c r="MP2" s="147">
        <f t="shared" si="5"/>
        <v>44540</v>
      </c>
      <c r="MQ2" s="147">
        <f t="shared" si="5"/>
        <v>44543</v>
      </c>
      <c r="MR2" s="147">
        <f t="shared" si="5"/>
        <v>44544</v>
      </c>
      <c r="MS2" s="147">
        <f t="shared" si="5"/>
        <v>44545</v>
      </c>
      <c r="MT2" s="147">
        <f t="shared" si="5"/>
        <v>44546</v>
      </c>
      <c r="MU2" s="147">
        <f t="shared" si="5"/>
        <v>44547</v>
      </c>
      <c r="MV2" s="147">
        <f t="shared" si="5"/>
        <v>44550</v>
      </c>
      <c r="MW2" s="147">
        <f t="shared" si="5"/>
        <v>44551</v>
      </c>
      <c r="MX2" s="147">
        <f t="shared" si="5"/>
        <v>44552</v>
      </c>
      <c r="MY2" s="147">
        <f t="shared" si="5"/>
        <v>44553</v>
      </c>
      <c r="MZ2" s="147">
        <f t="shared" si="5"/>
        <v>44554</v>
      </c>
      <c r="NA2" s="147">
        <f t="shared" si="5"/>
        <v>44557</v>
      </c>
      <c r="NB2" s="147">
        <f t="shared" si="5"/>
        <v>44558</v>
      </c>
      <c r="NC2" s="147">
        <f t="shared" si="5"/>
        <v>44559</v>
      </c>
      <c r="ND2" s="147">
        <f t="shared" si="5"/>
        <v>44560</v>
      </c>
      <c r="NE2" s="147">
        <f t="shared" si="5"/>
        <v>44561</v>
      </c>
    </row>
    <row r="3" spans="2:369" ht="21" x14ac:dyDescent="0.25">
      <c r="B3" s="148" t="s">
        <v>70</v>
      </c>
      <c r="C3" s="149" t="s">
        <v>117</v>
      </c>
      <c r="D3" s="149" t="s">
        <v>508</v>
      </c>
      <c r="E3" s="149" t="s">
        <v>143</v>
      </c>
      <c r="F3" s="149" t="s">
        <v>144</v>
      </c>
      <c r="G3" s="149" t="s">
        <v>145</v>
      </c>
      <c r="H3" s="149" t="s">
        <v>146</v>
      </c>
      <c r="I3" s="149" t="s">
        <v>147</v>
      </c>
      <c r="J3" s="149" t="s">
        <v>148</v>
      </c>
      <c r="K3" s="149" t="s">
        <v>149</v>
      </c>
      <c r="L3" s="149" t="s">
        <v>150</v>
      </c>
      <c r="M3" s="149" t="s">
        <v>151</v>
      </c>
      <c r="N3" s="149" t="s">
        <v>152</v>
      </c>
      <c r="O3" s="149" t="s">
        <v>153</v>
      </c>
      <c r="P3" s="149" t="s">
        <v>154</v>
      </c>
      <c r="Q3" s="149" t="s">
        <v>155</v>
      </c>
      <c r="R3" s="149" t="s">
        <v>156</v>
      </c>
      <c r="S3" s="149" t="s">
        <v>157</v>
      </c>
      <c r="T3" s="149" t="s">
        <v>158</v>
      </c>
      <c r="U3" s="149" t="s">
        <v>159</v>
      </c>
      <c r="V3" s="149" t="s">
        <v>160</v>
      </c>
      <c r="W3" s="149" t="s">
        <v>161</v>
      </c>
      <c r="X3" s="149" t="s">
        <v>162</v>
      </c>
      <c r="Y3" s="149" t="s">
        <v>163</v>
      </c>
      <c r="Z3" s="149" t="s">
        <v>164</v>
      </c>
      <c r="AA3" s="149" t="s">
        <v>165</v>
      </c>
      <c r="AB3" s="149" t="s">
        <v>166</v>
      </c>
      <c r="AC3" s="149" t="s">
        <v>167</v>
      </c>
      <c r="AD3" s="149" t="s">
        <v>168</v>
      </c>
      <c r="AE3" s="149" t="s">
        <v>169</v>
      </c>
      <c r="AF3" s="149" t="s">
        <v>170</v>
      </c>
      <c r="AG3" s="149" t="s">
        <v>171</v>
      </c>
      <c r="AH3" s="149" t="s">
        <v>172</v>
      </c>
      <c r="AI3" s="149" t="s">
        <v>173</v>
      </c>
      <c r="AJ3" s="149" t="s">
        <v>174</v>
      </c>
      <c r="AK3" s="149" t="s">
        <v>175</v>
      </c>
      <c r="AL3" s="149" t="s">
        <v>176</v>
      </c>
      <c r="AM3" s="149" t="s">
        <v>177</v>
      </c>
      <c r="AN3" s="149" t="s">
        <v>178</v>
      </c>
      <c r="AO3" s="149" t="s">
        <v>179</v>
      </c>
      <c r="AP3" s="149" t="s">
        <v>180</v>
      </c>
      <c r="AQ3" s="149" t="s">
        <v>181</v>
      </c>
      <c r="AR3" s="149" t="s">
        <v>182</v>
      </c>
      <c r="AS3" s="149" t="s">
        <v>183</v>
      </c>
      <c r="AT3" s="149" t="s">
        <v>184</v>
      </c>
      <c r="AU3" s="149" t="s">
        <v>185</v>
      </c>
      <c r="AV3" s="149" t="s">
        <v>186</v>
      </c>
      <c r="AW3" s="149" t="s">
        <v>187</v>
      </c>
      <c r="AX3" s="149" t="s">
        <v>188</v>
      </c>
      <c r="AY3" s="149" t="s">
        <v>189</v>
      </c>
      <c r="AZ3" s="149" t="s">
        <v>190</v>
      </c>
      <c r="BA3" s="149" t="s">
        <v>191</v>
      </c>
      <c r="BB3" s="149" t="s">
        <v>192</v>
      </c>
      <c r="BC3" s="149" t="s">
        <v>193</v>
      </c>
      <c r="BD3" s="149" t="s">
        <v>194</v>
      </c>
      <c r="BE3" s="149" t="s">
        <v>195</v>
      </c>
      <c r="BF3" s="149" t="s">
        <v>196</v>
      </c>
      <c r="BG3" s="149" t="s">
        <v>197</v>
      </c>
      <c r="BH3" s="149" t="s">
        <v>198</v>
      </c>
      <c r="BI3" s="149" t="s">
        <v>199</v>
      </c>
      <c r="BJ3" s="149" t="s">
        <v>200</v>
      </c>
      <c r="BK3" s="149" t="s">
        <v>201</v>
      </c>
      <c r="BL3" s="149" t="s">
        <v>202</v>
      </c>
      <c r="BM3" s="149" t="s">
        <v>203</v>
      </c>
      <c r="BN3" s="149" t="s">
        <v>204</v>
      </c>
      <c r="BO3" s="149" t="s">
        <v>205</v>
      </c>
      <c r="BP3" s="149" t="s">
        <v>206</v>
      </c>
      <c r="BQ3" s="149" t="s">
        <v>207</v>
      </c>
      <c r="BR3" s="149" t="s">
        <v>208</v>
      </c>
      <c r="BS3" s="149" t="s">
        <v>209</v>
      </c>
      <c r="BT3" s="149" t="s">
        <v>210</v>
      </c>
      <c r="BU3" s="149" t="s">
        <v>211</v>
      </c>
      <c r="BV3" s="149" t="s">
        <v>212</v>
      </c>
      <c r="BW3" s="149" t="s">
        <v>213</v>
      </c>
      <c r="BX3" s="149" t="s">
        <v>214</v>
      </c>
      <c r="BY3" s="149" t="s">
        <v>215</v>
      </c>
      <c r="BZ3" s="149" t="s">
        <v>216</v>
      </c>
      <c r="CA3" s="149" t="s">
        <v>217</v>
      </c>
      <c r="CB3" s="149" t="s">
        <v>218</v>
      </c>
      <c r="CC3" s="149" t="s">
        <v>219</v>
      </c>
      <c r="CD3" s="149" t="s">
        <v>220</v>
      </c>
      <c r="CE3" s="149" t="s">
        <v>221</v>
      </c>
      <c r="CF3" s="149" t="s">
        <v>222</v>
      </c>
      <c r="CG3" s="149" t="s">
        <v>223</v>
      </c>
      <c r="CH3" s="149" t="s">
        <v>224</v>
      </c>
      <c r="CI3" s="149" t="s">
        <v>225</v>
      </c>
      <c r="CJ3" s="149" t="s">
        <v>226</v>
      </c>
      <c r="CK3" s="149" t="s">
        <v>227</v>
      </c>
      <c r="CL3" s="149" t="s">
        <v>228</v>
      </c>
      <c r="CM3" s="149" t="s">
        <v>229</v>
      </c>
      <c r="CN3" s="149" t="s">
        <v>230</v>
      </c>
      <c r="CO3" s="149" t="s">
        <v>231</v>
      </c>
      <c r="CP3" s="149" t="s">
        <v>232</v>
      </c>
      <c r="CQ3" s="149" t="s">
        <v>233</v>
      </c>
      <c r="CR3" s="149" t="s">
        <v>234</v>
      </c>
      <c r="CS3" s="149" t="s">
        <v>235</v>
      </c>
      <c r="CT3" s="149" t="s">
        <v>236</v>
      </c>
      <c r="CU3" s="149" t="s">
        <v>237</v>
      </c>
      <c r="CV3" s="149" t="s">
        <v>238</v>
      </c>
      <c r="CW3" s="149" t="s">
        <v>239</v>
      </c>
      <c r="CX3" s="149" t="s">
        <v>240</v>
      </c>
      <c r="CY3" s="149" t="s">
        <v>241</v>
      </c>
      <c r="CZ3" s="149" t="s">
        <v>242</v>
      </c>
      <c r="DA3" s="149" t="s">
        <v>243</v>
      </c>
      <c r="DB3" s="149" t="s">
        <v>244</v>
      </c>
      <c r="DC3" s="149" t="s">
        <v>245</v>
      </c>
      <c r="DD3" s="149" t="s">
        <v>246</v>
      </c>
      <c r="DE3" s="149" t="s">
        <v>247</v>
      </c>
      <c r="DF3" s="149" t="s">
        <v>248</v>
      </c>
      <c r="DG3" s="149" t="s">
        <v>249</v>
      </c>
      <c r="DH3" s="149" t="s">
        <v>250</v>
      </c>
      <c r="DI3" s="149" t="s">
        <v>251</v>
      </c>
      <c r="DJ3" s="149" t="s">
        <v>252</v>
      </c>
      <c r="DK3" s="149" t="s">
        <v>253</v>
      </c>
      <c r="DL3" s="149" t="s">
        <v>254</v>
      </c>
      <c r="DM3" s="149" t="s">
        <v>255</v>
      </c>
      <c r="DN3" s="149" t="s">
        <v>256</v>
      </c>
      <c r="DO3" s="149" t="s">
        <v>257</v>
      </c>
      <c r="DP3" s="149" t="s">
        <v>258</v>
      </c>
      <c r="DQ3" s="149" t="s">
        <v>259</v>
      </c>
      <c r="DR3" s="149" t="s">
        <v>260</v>
      </c>
      <c r="DS3" s="149" t="s">
        <v>261</v>
      </c>
      <c r="DT3" s="149" t="s">
        <v>262</v>
      </c>
      <c r="DU3" s="149" t="s">
        <v>263</v>
      </c>
      <c r="DV3" s="149" t="s">
        <v>264</v>
      </c>
      <c r="DW3" s="149" t="s">
        <v>265</v>
      </c>
      <c r="DX3" s="149" t="s">
        <v>266</v>
      </c>
      <c r="DY3" s="149" t="s">
        <v>267</v>
      </c>
      <c r="DZ3" s="149" t="s">
        <v>268</v>
      </c>
      <c r="EA3" s="149" t="s">
        <v>269</v>
      </c>
      <c r="EB3" s="149" t="s">
        <v>270</v>
      </c>
      <c r="EC3" s="149" t="s">
        <v>271</v>
      </c>
      <c r="ED3" s="149" t="s">
        <v>272</v>
      </c>
      <c r="EE3" s="149" t="s">
        <v>273</v>
      </c>
      <c r="EF3" s="149" t="s">
        <v>274</v>
      </c>
      <c r="EG3" s="149" t="s">
        <v>275</v>
      </c>
      <c r="EH3" s="149" t="s">
        <v>276</v>
      </c>
      <c r="EI3" s="149" t="s">
        <v>277</v>
      </c>
      <c r="EJ3" s="149" t="s">
        <v>278</v>
      </c>
      <c r="EK3" s="149" t="s">
        <v>279</v>
      </c>
      <c r="EL3" s="149" t="s">
        <v>280</v>
      </c>
      <c r="EM3" s="149" t="s">
        <v>281</v>
      </c>
      <c r="EN3" s="149" t="s">
        <v>282</v>
      </c>
      <c r="EO3" s="149" t="s">
        <v>283</v>
      </c>
      <c r="EP3" s="149" t="s">
        <v>284</v>
      </c>
      <c r="EQ3" s="149" t="s">
        <v>285</v>
      </c>
      <c r="ER3" s="149" t="s">
        <v>286</v>
      </c>
      <c r="ES3" s="149" t="s">
        <v>287</v>
      </c>
      <c r="ET3" s="149" t="s">
        <v>288</v>
      </c>
      <c r="EU3" s="149" t="s">
        <v>289</v>
      </c>
      <c r="EV3" s="149" t="s">
        <v>290</v>
      </c>
      <c r="EW3" s="149" t="s">
        <v>291</v>
      </c>
      <c r="EX3" s="149" t="s">
        <v>292</v>
      </c>
      <c r="EY3" s="149" t="s">
        <v>293</v>
      </c>
      <c r="EZ3" s="149" t="s">
        <v>294</v>
      </c>
      <c r="FA3" s="149" t="s">
        <v>295</v>
      </c>
      <c r="FB3" s="149" t="s">
        <v>296</v>
      </c>
      <c r="FC3" s="149" t="s">
        <v>297</v>
      </c>
      <c r="FD3" s="149" t="s">
        <v>298</v>
      </c>
      <c r="FE3" s="149" t="s">
        <v>299</v>
      </c>
      <c r="FF3" s="149" t="s">
        <v>300</v>
      </c>
      <c r="FG3" s="149" t="s">
        <v>301</v>
      </c>
      <c r="FH3" s="149" t="s">
        <v>302</v>
      </c>
      <c r="FI3" s="149" t="s">
        <v>303</v>
      </c>
      <c r="FJ3" s="149" t="s">
        <v>304</v>
      </c>
      <c r="FK3" s="149" t="s">
        <v>305</v>
      </c>
      <c r="FL3" s="149" t="s">
        <v>306</v>
      </c>
      <c r="FM3" s="149" t="s">
        <v>307</v>
      </c>
      <c r="FN3" s="149" t="s">
        <v>308</v>
      </c>
      <c r="FO3" s="149" t="s">
        <v>309</v>
      </c>
      <c r="FP3" s="149" t="s">
        <v>310</v>
      </c>
      <c r="FQ3" s="149" t="s">
        <v>311</v>
      </c>
      <c r="FR3" s="149" t="s">
        <v>312</v>
      </c>
      <c r="FS3" s="149" t="s">
        <v>313</v>
      </c>
      <c r="FT3" s="149" t="s">
        <v>314</v>
      </c>
      <c r="FU3" s="149" t="s">
        <v>315</v>
      </c>
      <c r="FV3" s="149" t="s">
        <v>316</v>
      </c>
      <c r="FW3" s="149" t="s">
        <v>317</v>
      </c>
      <c r="FX3" s="149" t="s">
        <v>318</v>
      </c>
      <c r="FY3" s="149" t="s">
        <v>319</v>
      </c>
      <c r="FZ3" s="149" t="s">
        <v>320</v>
      </c>
      <c r="GA3" s="149" t="s">
        <v>321</v>
      </c>
      <c r="GB3" s="149" t="s">
        <v>322</v>
      </c>
      <c r="GC3" s="149" t="s">
        <v>323</v>
      </c>
      <c r="GD3" s="149" t="s">
        <v>324</v>
      </c>
      <c r="GE3" s="149" t="s">
        <v>325</v>
      </c>
      <c r="GF3" s="149" t="s">
        <v>326</v>
      </c>
      <c r="GG3" s="149" t="s">
        <v>327</v>
      </c>
      <c r="GH3" s="149" t="s">
        <v>328</v>
      </c>
      <c r="GI3" s="149" t="s">
        <v>329</v>
      </c>
      <c r="GJ3" s="149" t="s">
        <v>330</v>
      </c>
      <c r="GK3" s="149" t="s">
        <v>331</v>
      </c>
      <c r="GL3" s="149" t="s">
        <v>332</v>
      </c>
      <c r="GM3" s="149" t="s">
        <v>333</v>
      </c>
      <c r="GN3" s="149" t="s">
        <v>334</v>
      </c>
      <c r="GO3" s="149" t="s">
        <v>335</v>
      </c>
      <c r="GP3" s="149" t="s">
        <v>336</v>
      </c>
      <c r="GQ3" s="149" t="s">
        <v>337</v>
      </c>
      <c r="GR3" s="149" t="s">
        <v>338</v>
      </c>
      <c r="GS3" s="149" t="s">
        <v>339</v>
      </c>
      <c r="GT3" s="149" t="s">
        <v>340</v>
      </c>
      <c r="GU3" s="149" t="s">
        <v>341</v>
      </c>
      <c r="GV3" s="149" t="s">
        <v>342</v>
      </c>
      <c r="GW3" s="149" t="s">
        <v>343</v>
      </c>
      <c r="GX3" s="149" t="s">
        <v>344</v>
      </c>
      <c r="GY3" s="149" t="s">
        <v>345</v>
      </c>
      <c r="GZ3" s="149" t="s">
        <v>346</v>
      </c>
      <c r="HA3" s="149" t="s">
        <v>347</v>
      </c>
      <c r="HB3" s="149" t="s">
        <v>348</v>
      </c>
      <c r="HC3" s="149" t="s">
        <v>349</v>
      </c>
      <c r="HD3" s="149" t="s">
        <v>350</v>
      </c>
      <c r="HE3" s="149" t="s">
        <v>351</v>
      </c>
      <c r="HF3" s="149" t="s">
        <v>352</v>
      </c>
      <c r="HG3" s="149" t="s">
        <v>353</v>
      </c>
      <c r="HH3" s="149" t="s">
        <v>354</v>
      </c>
      <c r="HI3" s="149" t="s">
        <v>355</v>
      </c>
      <c r="HJ3" s="149" t="s">
        <v>356</v>
      </c>
      <c r="HK3" s="149" t="s">
        <v>357</v>
      </c>
      <c r="HL3" s="149" t="s">
        <v>358</v>
      </c>
      <c r="HM3" s="149" t="s">
        <v>359</v>
      </c>
      <c r="HN3" s="149" t="s">
        <v>360</v>
      </c>
      <c r="HO3" s="149" t="s">
        <v>361</v>
      </c>
      <c r="HP3" s="149" t="s">
        <v>362</v>
      </c>
      <c r="HQ3" s="149" t="s">
        <v>363</v>
      </c>
      <c r="HR3" s="149" t="s">
        <v>364</v>
      </c>
      <c r="HS3" s="149" t="s">
        <v>365</v>
      </c>
      <c r="HT3" s="149" t="s">
        <v>366</v>
      </c>
      <c r="HU3" s="149" t="s">
        <v>367</v>
      </c>
      <c r="HV3" s="149" t="s">
        <v>368</v>
      </c>
      <c r="HW3" s="149" t="s">
        <v>369</v>
      </c>
      <c r="HX3" s="149" t="s">
        <v>370</v>
      </c>
      <c r="HY3" s="149" t="s">
        <v>371</v>
      </c>
      <c r="HZ3" s="149" t="s">
        <v>372</v>
      </c>
      <c r="IA3" s="149" t="s">
        <v>373</v>
      </c>
      <c r="IB3" s="149" t="s">
        <v>374</v>
      </c>
      <c r="IC3" s="149" t="s">
        <v>375</v>
      </c>
      <c r="ID3" s="149" t="s">
        <v>376</v>
      </c>
      <c r="IE3" s="149" t="s">
        <v>377</v>
      </c>
      <c r="IF3" s="149" t="s">
        <v>378</v>
      </c>
      <c r="IG3" s="149" t="s">
        <v>379</v>
      </c>
      <c r="IH3" s="149" t="s">
        <v>380</v>
      </c>
      <c r="II3" s="149" t="s">
        <v>381</v>
      </c>
      <c r="IJ3" s="149" t="s">
        <v>382</v>
      </c>
      <c r="IK3" s="149" t="s">
        <v>383</v>
      </c>
      <c r="IL3" s="149" t="s">
        <v>384</v>
      </c>
      <c r="IM3" s="149" t="s">
        <v>385</v>
      </c>
      <c r="IN3" s="149" t="s">
        <v>386</v>
      </c>
      <c r="IO3" s="149" t="s">
        <v>387</v>
      </c>
      <c r="IP3" s="149" t="s">
        <v>388</v>
      </c>
      <c r="IQ3" s="149" t="s">
        <v>389</v>
      </c>
      <c r="IR3" s="149" t="s">
        <v>390</v>
      </c>
      <c r="IS3" s="149" t="s">
        <v>391</v>
      </c>
      <c r="IT3" s="149" t="s">
        <v>392</v>
      </c>
      <c r="IU3" s="149" t="s">
        <v>393</v>
      </c>
      <c r="IV3" s="149" t="s">
        <v>394</v>
      </c>
      <c r="IW3" s="149" t="s">
        <v>395</v>
      </c>
      <c r="IX3" s="149" t="s">
        <v>396</v>
      </c>
      <c r="IY3" s="149" t="s">
        <v>397</v>
      </c>
      <c r="IZ3" s="149" t="s">
        <v>398</v>
      </c>
      <c r="JA3" s="149" t="s">
        <v>399</v>
      </c>
      <c r="JB3" s="149" t="s">
        <v>400</v>
      </c>
      <c r="JC3" s="149" t="s">
        <v>401</v>
      </c>
      <c r="JD3" s="149" t="s">
        <v>402</v>
      </c>
      <c r="JE3" s="149" t="s">
        <v>403</v>
      </c>
      <c r="JF3" s="149" t="s">
        <v>404</v>
      </c>
      <c r="JG3" s="149" t="s">
        <v>405</v>
      </c>
      <c r="JH3" s="149" t="s">
        <v>406</v>
      </c>
      <c r="JI3" s="149" t="s">
        <v>407</v>
      </c>
      <c r="JJ3" s="149" t="s">
        <v>408</v>
      </c>
      <c r="JK3" s="149" t="s">
        <v>409</v>
      </c>
      <c r="JL3" s="149" t="s">
        <v>410</v>
      </c>
      <c r="JM3" s="149" t="s">
        <v>411</v>
      </c>
      <c r="JN3" s="149" t="s">
        <v>412</v>
      </c>
      <c r="JO3" s="149" t="s">
        <v>413</v>
      </c>
      <c r="JP3" s="149" t="s">
        <v>414</v>
      </c>
      <c r="JQ3" s="149" t="s">
        <v>415</v>
      </c>
      <c r="JR3" s="149" t="s">
        <v>416</v>
      </c>
      <c r="JS3" s="149" t="s">
        <v>417</v>
      </c>
      <c r="JT3" s="149" t="s">
        <v>418</v>
      </c>
      <c r="JU3" s="149" t="s">
        <v>419</v>
      </c>
      <c r="JV3" s="149" t="s">
        <v>420</v>
      </c>
      <c r="JW3" s="149" t="s">
        <v>421</v>
      </c>
      <c r="JX3" s="149" t="s">
        <v>422</v>
      </c>
      <c r="JY3" s="149" t="s">
        <v>423</v>
      </c>
      <c r="JZ3" s="149" t="s">
        <v>424</v>
      </c>
      <c r="KA3" s="149" t="s">
        <v>425</v>
      </c>
      <c r="KB3" s="149" t="s">
        <v>426</v>
      </c>
      <c r="KC3" s="149" t="s">
        <v>427</v>
      </c>
      <c r="KD3" s="149" t="s">
        <v>428</v>
      </c>
      <c r="KE3" s="149" t="s">
        <v>429</v>
      </c>
      <c r="KF3" s="149" t="s">
        <v>430</v>
      </c>
      <c r="KG3" s="149" t="s">
        <v>431</v>
      </c>
      <c r="KH3" s="149" t="s">
        <v>432</v>
      </c>
      <c r="KI3" s="149" t="s">
        <v>433</v>
      </c>
      <c r="KJ3" s="149" t="s">
        <v>434</v>
      </c>
      <c r="KK3" s="149" t="s">
        <v>435</v>
      </c>
      <c r="KL3" s="149" t="s">
        <v>436</v>
      </c>
      <c r="KM3" s="149" t="s">
        <v>437</v>
      </c>
      <c r="KN3" s="149" t="s">
        <v>438</v>
      </c>
      <c r="KO3" s="149" t="s">
        <v>439</v>
      </c>
      <c r="KP3" s="149" t="s">
        <v>440</v>
      </c>
      <c r="KQ3" s="149" t="s">
        <v>441</v>
      </c>
      <c r="KR3" s="149" t="s">
        <v>442</v>
      </c>
      <c r="KS3" s="149" t="s">
        <v>443</v>
      </c>
      <c r="KT3" s="149" t="s">
        <v>444</v>
      </c>
      <c r="KU3" s="149" t="s">
        <v>445</v>
      </c>
      <c r="KV3" s="149" t="s">
        <v>446</v>
      </c>
      <c r="KW3" s="149" t="s">
        <v>447</v>
      </c>
      <c r="KX3" s="149" t="s">
        <v>448</v>
      </c>
      <c r="KY3" s="149" t="s">
        <v>449</v>
      </c>
      <c r="KZ3" s="149" t="s">
        <v>450</v>
      </c>
      <c r="LA3" s="149" t="s">
        <v>451</v>
      </c>
      <c r="LB3" s="149" t="s">
        <v>452</v>
      </c>
      <c r="LC3" s="149" t="s">
        <v>453</v>
      </c>
      <c r="LD3" s="149" t="s">
        <v>454</v>
      </c>
      <c r="LE3" s="149" t="s">
        <v>455</v>
      </c>
      <c r="LF3" s="149" t="s">
        <v>456</v>
      </c>
      <c r="LG3" s="149" t="s">
        <v>457</v>
      </c>
      <c r="LH3" s="149" t="s">
        <v>458</v>
      </c>
      <c r="LI3" s="149" t="s">
        <v>459</v>
      </c>
      <c r="LJ3" s="149" t="s">
        <v>460</v>
      </c>
      <c r="LK3" s="149" t="s">
        <v>461</v>
      </c>
      <c r="LL3" s="149" t="s">
        <v>462</v>
      </c>
      <c r="LM3" s="149" t="s">
        <v>463</v>
      </c>
      <c r="LN3" s="149" t="s">
        <v>464</v>
      </c>
      <c r="LO3" s="149" t="s">
        <v>465</v>
      </c>
      <c r="LP3" s="149" t="s">
        <v>466</v>
      </c>
      <c r="LQ3" s="149" t="s">
        <v>467</v>
      </c>
      <c r="LR3" s="149" t="s">
        <v>468</v>
      </c>
      <c r="LS3" s="149" t="s">
        <v>469</v>
      </c>
      <c r="LT3" s="149" t="s">
        <v>470</v>
      </c>
      <c r="LU3" s="149" t="s">
        <v>471</v>
      </c>
      <c r="LV3" s="149" t="s">
        <v>472</v>
      </c>
      <c r="LW3" s="149" t="s">
        <v>473</v>
      </c>
      <c r="LX3" s="149" t="s">
        <v>474</v>
      </c>
      <c r="LY3" s="149" t="s">
        <v>475</v>
      </c>
      <c r="LZ3" s="149" t="s">
        <v>476</v>
      </c>
      <c r="MA3" s="149" t="s">
        <v>477</v>
      </c>
      <c r="MB3" s="149" t="s">
        <v>478</v>
      </c>
      <c r="MC3" s="149" t="s">
        <v>479</v>
      </c>
      <c r="MD3" s="149" t="s">
        <v>480</v>
      </c>
      <c r="ME3" s="149" t="s">
        <v>481</v>
      </c>
      <c r="MF3" s="149" t="s">
        <v>482</v>
      </c>
      <c r="MG3" s="149" t="s">
        <v>483</v>
      </c>
      <c r="MH3" s="149" t="s">
        <v>484</v>
      </c>
      <c r="MI3" s="149" t="s">
        <v>485</v>
      </c>
      <c r="MJ3" s="149" t="s">
        <v>486</v>
      </c>
      <c r="MK3" s="149" t="s">
        <v>487</v>
      </c>
      <c r="ML3" s="149" t="s">
        <v>488</v>
      </c>
      <c r="MM3" s="149" t="s">
        <v>489</v>
      </c>
      <c r="MN3" s="149" t="s">
        <v>490</v>
      </c>
      <c r="MO3" s="149" t="s">
        <v>491</v>
      </c>
      <c r="MP3" s="149" t="s">
        <v>492</v>
      </c>
      <c r="MQ3" s="149" t="s">
        <v>493</v>
      </c>
      <c r="MR3" s="149" t="s">
        <v>494</v>
      </c>
      <c r="MS3" s="149" t="s">
        <v>495</v>
      </c>
      <c r="MT3" s="149" t="s">
        <v>496</v>
      </c>
      <c r="MU3" s="149" t="s">
        <v>497</v>
      </c>
      <c r="MV3" s="149" t="s">
        <v>498</v>
      </c>
      <c r="MW3" s="149" t="s">
        <v>499</v>
      </c>
      <c r="MX3" s="149" t="s">
        <v>500</v>
      </c>
      <c r="MY3" s="149" t="s">
        <v>501</v>
      </c>
      <c r="MZ3" s="149" t="s">
        <v>502</v>
      </c>
      <c r="NA3" s="149" t="s">
        <v>503</v>
      </c>
      <c r="NB3" s="149" t="s">
        <v>504</v>
      </c>
      <c r="NC3" s="149" t="s">
        <v>505</v>
      </c>
      <c r="ND3" s="149" t="s">
        <v>506</v>
      </c>
      <c r="NE3" s="149" t="s">
        <v>507</v>
      </c>
    </row>
    <row r="4" spans="2:369" x14ac:dyDescent="0.25">
      <c r="B4" s="150" t="s">
        <v>37</v>
      </c>
      <c r="C4" s="151">
        <f t="shared" ref="C4:C13" si="6">COUNTIF($E4:$NE4,"A")</f>
        <v>1</v>
      </c>
      <c r="D4" s="151">
        <f t="shared" ref="D4:D13" si="7">COUNTIF($E4:$NE4,"L")</f>
        <v>0</v>
      </c>
      <c r="E4" s="151"/>
      <c r="F4" s="151" t="s">
        <v>69</v>
      </c>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2"/>
    </row>
    <row r="5" spans="2:369" x14ac:dyDescent="0.25">
      <c r="B5" s="150" t="s">
        <v>38</v>
      </c>
      <c r="C5" s="151">
        <f t="shared" si="6"/>
        <v>0</v>
      </c>
      <c r="D5" s="151">
        <f t="shared" si="7"/>
        <v>1</v>
      </c>
      <c r="E5" s="151"/>
      <c r="F5" s="151"/>
      <c r="G5" s="151" t="s">
        <v>81</v>
      </c>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51"/>
      <c r="AY5" s="151"/>
      <c r="AZ5" s="151"/>
      <c r="BA5" s="151"/>
      <c r="BB5" s="151"/>
      <c r="BC5" s="151"/>
      <c r="BD5" s="151"/>
      <c r="BE5" s="151"/>
      <c r="BF5" s="151"/>
      <c r="BG5" s="151"/>
      <c r="BH5" s="151"/>
      <c r="BI5" s="151"/>
      <c r="BJ5" s="151"/>
      <c r="BK5" s="151"/>
      <c r="BL5" s="151"/>
      <c r="BM5" s="151"/>
      <c r="BN5" s="151"/>
      <c r="BO5" s="151"/>
      <c r="BP5" s="151"/>
      <c r="BQ5" s="151"/>
      <c r="BR5" s="151"/>
      <c r="BS5" s="151"/>
      <c r="BT5" s="151"/>
      <c r="BU5" s="151"/>
      <c r="BV5" s="151"/>
      <c r="BW5" s="151"/>
      <c r="BX5" s="151"/>
      <c r="BY5" s="151"/>
      <c r="BZ5" s="151"/>
      <c r="CA5" s="151"/>
      <c r="CB5" s="151"/>
      <c r="CC5" s="151"/>
      <c r="CD5" s="151"/>
      <c r="CE5" s="151"/>
      <c r="CF5" s="151"/>
      <c r="CG5" s="151"/>
      <c r="CH5" s="151"/>
      <c r="CI5" s="151"/>
      <c r="CJ5" s="151"/>
      <c r="CK5" s="151"/>
      <c r="CL5" s="151"/>
      <c r="CM5" s="151"/>
      <c r="CN5" s="151"/>
      <c r="CO5" s="151"/>
      <c r="CP5" s="151"/>
      <c r="CQ5" s="151"/>
      <c r="CR5" s="151"/>
      <c r="CS5" s="151"/>
      <c r="CT5" s="151"/>
      <c r="CU5" s="151"/>
      <c r="CV5" s="151"/>
      <c r="CW5" s="151"/>
      <c r="CX5" s="151"/>
      <c r="CY5" s="151"/>
      <c r="CZ5" s="151"/>
      <c r="DA5" s="151"/>
      <c r="DB5" s="151"/>
      <c r="DC5" s="151"/>
      <c r="DD5" s="151"/>
      <c r="DE5" s="151"/>
      <c r="DF5" s="151"/>
      <c r="DG5" s="151"/>
      <c r="DH5" s="151"/>
      <c r="DI5" s="151"/>
      <c r="DJ5" s="151"/>
      <c r="DK5" s="151"/>
      <c r="DL5" s="151"/>
      <c r="DM5" s="151"/>
      <c r="DN5" s="151"/>
      <c r="DO5" s="151"/>
      <c r="DP5" s="151"/>
      <c r="DQ5" s="151"/>
      <c r="DR5" s="151"/>
      <c r="DS5" s="151"/>
      <c r="DT5" s="151"/>
      <c r="DU5" s="151"/>
      <c r="DV5" s="151"/>
      <c r="DW5" s="151"/>
      <c r="DX5" s="151"/>
      <c r="DY5" s="151"/>
      <c r="DZ5" s="151"/>
      <c r="EA5" s="151"/>
      <c r="EB5" s="151"/>
      <c r="EC5" s="151"/>
      <c r="ED5" s="151"/>
      <c r="EE5" s="151"/>
      <c r="EF5" s="151"/>
      <c r="EG5" s="151"/>
      <c r="EH5" s="151"/>
      <c r="EI5" s="151"/>
      <c r="EJ5" s="151"/>
      <c r="EK5" s="151"/>
      <c r="EL5" s="151"/>
      <c r="EM5" s="151"/>
      <c r="EN5" s="151"/>
      <c r="EO5" s="151"/>
      <c r="EP5" s="151"/>
      <c r="EQ5" s="151"/>
      <c r="ER5" s="151"/>
      <c r="ES5" s="151"/>
      <c r="ET5" s="151"/>
      <c r="EU5" s="151"/>
      <c r="EV5" s="151"/>
      <c r="EW5" s="151"/>
      <c r="EX5" s="151"/>
      <c r="EY5" s="151"/>
      <c r="EZ5" s="151"/>
      <c r="FA5" s="151"/>
      <c r="FB5" s="151"/>
      <c r="FC5" s="151"/>
      <c r="FD5" s="151"/>
      <c r="FE5" s="151"/>
      <c r="FF5" s="151"/>
      <c r="FG5" s="151"/>
      <c r="FH5" s="151"/>
      <c r="FI5" s="151"/>
      <c r="FJ5" s="151"/>
      <c r="FK5" s="151"/>
      <c r="FL5" s="151"/>
      <c r="FM5" s="151"/>
      <c r="FN5" s="151"/>
      <c r="FO5" s="151"/>
      <c r="FP5" s="151"/>
      <c r="FQ5" s="151"/>
      <c r="FR5" s="151"/>
      <c r="FS5" s="151"/>
      <c r="FT5" s="151"/>
      <c r="FU5" s="151"/>
      <c r="FV5" s="151"/>
      <c r="FW5" s="151"/>
      <c r="FX5" s="151"/>
      <c r="FY5" s="151"/>
      <c r="FZ5" s="151"/>
      <c r="GA5" s="151"/>
      <c r="GB5" s="151"/>
      <c r="GC5" s="151"/>
      <c r="GD5" s="151"/>
      <c r="GE5" s="151"/>
      <c r="GF5" s="151"/>
      <c r="GG5" s="151"/>
      <c r="GH5" s="151"/>
      <c r="GI5" s="151"/>
      <c r="GJ5" s="151"/>
      <c r="GK5" s="151"/>
      <c r="GL5" s="151"/>
      <c r="GM5" s="151"/>
      <c r="GN5" s="151"/>
      <c r="GO5" s="151"/>
      <c r="GP5" s="151"/>
      <c r="GQ5" s="151"/>
      <c r="GR5" s="151"/>
      <c r="GS5" s="151"/>
      <c r="GT5" s="151"/>
      <c r="GU5" s="151"/>
      <c r="GV5" s="151"/>
      <c r="GW5" s="151"/>
      <c r="GX5" s="151"/>
      <c r="GY5" s="151"/>
      <c r="GZ5" s="151"/>
      <c r="HA5" s="151"/>
      <c r="HB5" s="151"/>
      <c r="HC5" s="151"/>
      <c r="HD5" s="151"/>
      <c r="HE5" s="151"/>
      <c r="HF5" s="151"/>
      <c r="HG5" s="151"/>
      <c r="HH5" s="151"/>
      <c r="HI5" s="151"/>
      <c r="HJ5" s="151"/>
      <c r="HK5" s="151"/>
      <c r="HL5" s="151"/>
      <c r="HM5" s="151"/>
      <c r="HN5" s="151"/>
      <c r="HO5" s="151"/>
      <c r="HP5" s="151"/>
      <c r="HQ5" s="151"/>
      <c r="HR5" s="151"/>
      <c r="HS5" s="151"/>
      <c r="HT5" s="151"/>
      <c r="HU5" s="151"/>
      <c r="HV5" s="151"/>
      <c r="HW5" s="151"/>
      <c r="HX5" s="151"/>
      <c r="HY5" s="151"/>
      <c r="HZ5" s="151"/>
      <c r="IA5" s="151"/>
      <c r="IB5" s="151"/>
      <c r="IC5" s="151"/>
      <c r="ID5" s="151"/>
      <c r="IE5" s="151"/>
      <c r="IF5" s="151"/>
      <c r="IG5" s="151"/>
      <c r="IH5" s="151"/>
      <c r="II5" s="151"/>
      <c r="IJ5" s="151"/>
      <c r="IK5" s="151"/>
      <c r="IL5" s="151"/>
      <c r="IM5" s="151"/>
      <c r="IN5" s="151"/>
      <c r="IO5" s="151"/>
      <c r="IP5" s="151"/>
      <c r="IQ5" s="151"/>
      <c r="IR5" s="151"/>
      <c r="IS5" s="151"/>
      <c r="IT5" s="151"/>
      <c r="IU5" s="151"/>
      <c r="IV5" s="151"/>
      <c r="IW5" s="151"/>
      <c r="IX5" s="151"/>
      <c r="IY5" s="151"/>
      <c r="IZ5" s="151"/>
      <c r="JA5" s="151"/>
      <c r="JB5" s="151"/>
      <c r="JC5" s="151"/>
      <c r="JD5" s="151"/>
      <c r="JE5" s="151"/>
      <c r="JF5" s="151"/>
      <c r="JG5" s="151"/>
      <c r="JH5" s="151"/>
      <c r="JI5" s="151"/>
      <c r="JJ5" s="151"/>
      <c r="JK5" s="151"/>
      <c r="JL5" s="151"/>
      <c r="JM5" s="151"/>
      <c r="JN5" s="151"/>
      <c r="JO5" s="151"/>
      <c r="JP5" s="151"/>
      <c r="JQ5" s="151"/>
      <c r="JR5" s="151"/>
      <c r="JS5" s="151"/>
      <c r="JT5" s="151"/>
      <c r="JU5" s="151"/>
      <c r="JV5" s="151"/>
      <c r="JW5" s="151"/>
      <c r="JX5" s="151"/>
      <c r="JY5" s="151"/>
      <c r="JZ5" s="151"/>
      <c r="KA5" s="151"/>
      <c r="KB5" s="151"/>
      <c r="KC5" s="151"/>
      <c r="KD5" s="151"/>
      <c r="KE5" s="151"/>
      <c r="KF5" s="151"/>
      <c r="KG5" s="151"/>
      <c r="KH5" s="151"/>
      <c r="KI5" s="151"/>
      <c r="KJ5" s="151"/>
      <c r="KK5" s="151"/>
      <c r="KL5" s="151"/>
      <c r="KM5" s="151"/>
      <c r="KN5" s="151"/>
      <c r="KO5" s="151"/>
      <c r="KP5" s="151"/>
      <c r="KQ5" s="151"/>
      <c r="KR5" s="151"/>
      <c r="KS5" s="151"/>
      <c r="KT5" s="151"/>
      <c r="KU5" s="151"/>
      <c r="KV5" s="151"/>
      <c r="KW5" s="151"/>
      <c r="KX5" s="151"/>
      <c r="KY5" s="151"/>
      <c r="KZ5" s="151"/>
      <c r="LA5" s="151"/>
      <c r="LB5" s="151"/>
      <c r="LC5" s="151"/>
      <c r="LD5" s="151"/>
      <c r="LE5" s="151"/>
      <c r="LF5" s="151"/>
      <c r="LG5" s="151"/>
      <c r="LH5" s="151"/>
      <c r="LI5" s="151"/>
      <c r="LJ5" s="151"/>
      <c r="LK5" s="151"/>
      <c r="LL5" s="151"/>
      <c r="LM5" s="151"/>
      <c r="LN5" s="151"/>
      <c r="LO5" s="151"/>
      <c r="LP5" s="151"/>
      <c r="LQ5" s="151"/>
      <c r="LR5" s="151"/>
      <c r="LS5" s="151"/>
      <c r="LT5" s="151"/>
      <c r="LU5" s="151"/>
      <c r="LV5" s="151"/>
      <c r="LW5" s="151"/>
      <c r="LX5" s="151"/>
      <c r="LY5" s="151"/>
      <c r="LZ5" s="151"/>
      <c r="MA5" s="151"/>
      <c r="MB5" s="151"/>
      <c r="MC5" s="151"/>
      <c r="MD5" s="151"/>
      <c r="ME5" s="151"/>
      <c r="MF5" s="151"/>
      <c r="MG5" s="151"/>
      <c r="MH5" s="151"/>
      <c r="MI5" s="151"/>
      <c r="MJ5" s="151"/>
      <c r="MK5" s="151"/>
      <c r="ML5" s="151"/>
      <c r="MM5" s="151"/>
      <c r="MN5" s="151"/>
      <c r="MO5" s="151"/>
      <c r="MP5" s="151"/>
      <c r="MQ5" s="151"/>
      <c r="MR5" s="151"/>
      <c r="MS5" s="151"/>
      <c r="MT5" s="151"/>
      <c r="MU5" s="151"/>
      <c r="MV5" s="151"/>
      <c r="MW5" s="151"/>
      <c r="MX5" s="151"/>
      <c r="MY5" s="151"/>
      <c r="MZ5" s="151"/>
      <c r="NA5" s="151"/>
      <c r="NB5" s="151"/>
      <c r="NC5" s="151"/>
      <c r="ND5" s="151"/>
      <c r="NE5" s="152"/>
    </row>
    <row r="6" spans="2:369" x14ac:dyDescent="0.25">
      <c r="B6" s="150" t="s">
        <v>39</v>
      </c>
      <c r="C6" s="151">
        <f t="shared" si="6"/>
        <v>2</v>
      </c>
      <c r="D6" s="151">
        <f t="shared" si="7"/>
        <v>0</v>
      </c>
      <c r="E6" s="151" t="s">
        <v>69</v>
      </c>
      <c r="F6" s="151" t="s">
        <v>69</v>
      </c>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1"/>
      <c r="AY6" s="151"/>
      <c r="AZ6" s="151"/>
      <c r="BA6" s="151"/>
      <c r="BB6" s="151"/>
      <c r="BC6" s="151"/>
      <c r="BD6" s="151"/>
      <c r="BE6" s="151"/>
      <c r="BF6" s="151"/>
      <c r="BG6" s="151"/>
      <c r="BH6" s="151"/>
      <c r="BI6" s="151"/>
      <c r="BJ6" s="151"/>
      <c r="BK6" s="151"/>
      <c r="BL6" s="151"/>
      <c r="BM6" s="151"/>
      <c r="BN6" s="151"/>
      <c r="BO6" s="151"/>
      <c r="BP6" s="151"/>
      <c r="BQ6" s="151"/>
      <c r="BR6" s="151"/>
      <c r="BS6" s="151"/>
      <c r="BT6" s="151"/>
      <c r="BU6" s="151"/>
      <c r="BV6" s="151"/>
      <c r="BW6" s="151"/>
      <c r="BX6" s="151"/>
      <c r="BY6" s="151"/>
      <c r="BZ6" s="151"/>
      <c r="CA6" s="151"/>
      <c r="CB6" s="151"/>
      <c r="CC6" s="151"/>
      <c r="CD6" s="151"/>
      <c r="CE6" s="151"/>
      <c r="CF6" s="151"/>
      <c r="CG6" s="151"/>
      <c r="CH6" s="151"/>
      <c r="CI6" s="151"/>
      <c r="CJ6" s="151"/>
      <c r="CK6" s="151"/>
      <c r="CL6" s="151"/>
      <c r="CM6" s="151"/>
      <c r="CN6" s="151"/>
      <c r="CO6" s="151"/>
      <c r="CP6" s="151"/>
      <c r="CQ6" s="151"/>
      <c r="CR6" s="151"/>
      <c r="CS6" s="151"/>
      <c r="CT6" s="151"/>
      <c r="CU6" s="151"/>
      <c r="CV6" s="151"/>
      <c r="CW6" s="151"/>
      <c r="CX6" s="151"/>
      <c r="CY6" s="151"/>
      <c r="CZ6" s="151"/>
      <c r="DA6" s="151"/>
      <c r="DB6" s="151"/>
      <c r="DC6" s="151"/>
      <c r="DD6" s="151"/>
      <c r="DE6" s="151"/>
      <c r="DF6" s="151"/>
      <c r="DG6" s="151"/>
      <c r="DH6" s="151"/>
      <c r="DI6" s="151"/>
      <c r="DJ6" s="151"/>
      <c r="DK6" s="151"/>
      <c r="DL6" s="151"/>
      <c r="DM6" s="151"/>
      <c r="DN6" s="151"/>
      <c r="DO6" s="151"/>
      <c r="DP6" s="151"/>
      <c r="DQ6" s="151"/>
      <c r="DR6" s="151"/>
      <c r="DS6" s="151"/>
      <c r="DT6" s="151"/>
      <c r="DU6" s="151"/>
      <c r="DV6" s="151"/>
      <c r="DW6" s="151"/>
      <c r="DX6" s="151"/>
      <c r="DY6" s="151"/>
      <c r="DZ6" s="151"/>
      <c r="EA6" s="151"/>
      <c r="EB6" s="151"/>
      <c r="EC6" s="151"/>
      <c r="ED6" s="151"/>
      <c r="EE6" s="151"/>
      <c r="EF6" s="151"/>
      <c r="EG6" s="151"/>
      <c r="EH6" s="151"/>
      <c r="EI6" s="151"/>
      <c r="EJ6" s="151"/>
      <c r="EK6" s="151"/>
      <c r="EL6" s="151"/>
      <c r="EM6" s="151"/>
      <c r="EN6" s="151"/>
      <c r="EO6" s="151"/>
      <c r="EP6" s="151"/>
      <c r="EQ6" s="151"/>
      <c r="ER6" s="151"/>
      <c r="ES6" s="151"/>
      <c r="ET6" s="151"/>
      <c r="EU6" s="151"/>
      <c r="EV6" s="151"/>
      <c r="EW6" s="151"/>
      <c r="EX6" s="151"/>
      <c r="EY6" s="151"/>
      <c r="EZ6" s="151"/>
      <c r="FA6" s="151"/>
      <c r="FB6" s="151"/>
      <c r="FC6" s="151"/>
      <c r="FD6" s="151"/>
      <c r="FE6" s="151"/>
      <c r="FF6" s="151"/>
      <c r="FG6" s="151"/>
      <c r="FH6" s="151"/>
      <c r="FI6" s="151"/>
      <c r="FJ6" s="151"/>
      <c r="FK6" s="151"/>
      <c r="FL6" s="151"/>
      <c r="FM6" s="151"/>
      <c r="FN6" s="151"/>
      <c r="FO6" s="151"/>
      <c r="FP6" s="151"/>
      <c r="FQ6" s="151"/>
      <c r="FR6" s="151"/>
      <c r="FS6" s="151"/>
      <c r="FT6" s="151"/>
      <c r="FU6" s="151"/>
      <c r="FV6" s="151"/>
      <c r="FW6" s="151"/>
      <c r="FX6" s="151"/>
      <c r="FY6" s="151"/>
      <c r="FZ6" s="151"/>
      <c r="GA6" s="151"/>
      <c r="GB6" s="151"/>
      <c r="GC6" s="151"/>
      <c r="GD6" s="151"/>
      <c r="GE6" s="151"/>
      <c r="GF6" s="151"/>
      <c r="GG6" s="151"/>
      <c r="GH6" s="151"/>
      <c r="GI6" s="151"/>
      <c r="GJ6" s="151"/>
      <c r="GK6" s="151"/>
      <c r="GL6" s="151"/>
      <c r="GM6" s="151"/>
      <c r="GN6" s="151"/>
      <c r="GO6" s="151"/>
      <c r="GP6" s="151"/>
      <c r="GQ6" s="151"/>
      <c r="GR6" s="151"/>
      <c r="GS6" s="151"/>
      <c r="GT6" s="151"/>
      <c r="GU6" s="151"/>
      <c r="GV6" s="151"/>
      <c r="GW6" s="151"/>
      <c r="GX6" s="151"/>
      <c r="GY6" s="151"/>
      <c r="GZ6" s="151"/>
      <c r="HA6" s="151"/>
      <c r="HB6" s="151"/>
      <c r="HC6" s="151"/>
      <c r="HD6" s="151"/>
      <c r="HE6" s="151"/>
      <c r="HF6" s="151"/>
      <c r="HG6" s="151"/>
      <c r="HH6" s="151"/>
      <c r="HI6" s="151"/>
      <c r="HJ6" s="151"/>
      <c r="HK6" s="151"/>
      <c r="HL6" s="151"/>
      <c r="HM6" s="151"/>
      <c r="HN6" s="151"/>
      <c r="HO6" s="151"/>
      <c r="HP6" s="151"/>
      <c r="HQ6" s="151"/>
      <c r="HR6" s="151"/>
      <c r="HS6" s="151"/>
      <c r="HT6" s="151"/>
      <c r="HU6" s="151"/>
      <c r="HV6" s="151"/>
      <c r="HW6" s="151"/>
      <c r="HX6" s="151"/>
      <c r="HY6" s="151"/>
      <c r="HZ6" s="151"/>
      <c r="IA6" s="151"/>
      <c r="IB6" s="151"/>
      <c r="IC6" s="151"/>
      <c r="ID6" s="151"/>
      <c r="IE6" s="151"/>
      <c r="IF6" s="151"/>
      <c r="IG6" s="151"/>
      <c r="IH6" s="151"/>
      <c r="II6" s="151"/>
      <c r="IJ6" s="151"/>
      <c r="IK6" s="151"/>
      <c r="IL6" s="151"/>
      <c r="IM6" s="151"/>
      <c r="IN6" s="151"/>
      <c r="IO6" s="151"/>
      <c r="IP6" s="151"/>
      <c r="IQ6" s="151"/>
      <c r="IR6" s="151"/>
      <c r="IS6" s="151"/>
      <c r="IT6" s="151"/>
      <c r="IU6" s="151"/>
      <c r="IV6" s="151"/>
      <c r="IW6" s="151"/>
      <c r="IX6" s="151"/>
      <c r="IY6" s="151"/>
      <c r="IZ6" s="151"/>
      <c r="JA6" s="151"/>
      <c r="JB6" s="151"/>
      <c r="JC6" s="151"/>
      <c r="JD6" s="151"/>
      <c r="JE6" s="151"/>
      <c r="JF6" s="151"/>
      <c r="JG6" s="151"/>
      <c r="JH6" s="151"/>
      <c r="JI6" s="151"/>
      <c r="JJ6" s="151"/>
      <c r="JK6" s="151"/>
      <c r="JL6" s="151"/>
      <c r="JM6" s="151"/>
      <c r="JN6" s="151"/>
      <c r="JO6" s="151"/>
      <c r="JP6" s="151"/>
      <c r="JQ6" s="151"/>
      <c r="JR6" s="151"/>
      <c r="JS6" s="151"/>
      <c r="JT6" s="151"/>
      <c r="JU6" s="151"/>
      <c r="JV6" s="151"/>
      <c r="JW6" s="151"/>
      <c r="JX6" s="151"/>
      <c r="JY6" s="151"/>
      <c r="JZ6" s="151"/>
      <c r="KA6" s="151"/>
      <c r="KB6" s="151"/>
      <c r="KC6" s="151"/>
      <c r="KD6" s="151"/>
      <c r="KE6" s="151"/>
      <c r="KF6" s="151"/>
      <c r="KG6" s="151"/>
      <c r="KH6" s="151"/>
      <c r="KI6" s="151"/>
      <c r="KJ6" s="151"/>
      <c r="KK6" s="151"/>
      <c r="KL6" s="151"/>
      <c r="KM6" s="151"/>
      <c r="KN6" s="151"/>
      <c r="KO6" s="151"/>
      <c r="KP6" s="151"/>
      <c r="KQ6" s="151"/>
      <c r="KR6" s="151"/>
      <c r="KS6" s="151"/>
      <c r="KT6" s="151"/>
      <c r="KU6" s="151"/>
      <c r="KV6" s="151"/>
      <c r="KW6" s="151"/>
      <c r="KX6" s="151"/>
      <c r="KY6" s="151"/>
      <c r="KZ6" s="151"/>
      <c r="LA6" s="151"/>
      <c r="LB6" s="151"/>
      <c r="LC6" s="151"/>
      <c r="LD6" s="151"/>
      <c r="LE6" s="151"/>
      <c r="LF6" s="151"/>
      <c r="LG6" s="151"/>
      <c r="LH6" s="151"/>
      <c r="LI6" s="151"/>
      <c r="LJ6" s="151"/>
      <c r="LK6" s="151"/>
      <c r="LL6" s="151"/>
      <c r="LM6" s="151"/>
      <c r="LN6" s="151"/>
      <c r="LO6" s="151"/>
      <c r="LP6" s="151"/>
      <c r="LQ6" s="151"/>
      <c r="LR6" s="151"/>
      <c r="LS6" s="151"/>
      <c r="LT6" s="151"/>
      <c r="LU6" s="151"/>
      <c r="LV6" s="151"/>
      <c r="LW6" s="151"/>
      <c r="LX6" s="151"/>
      <c r="LY6" s="151"/>
      <c r="LZ6" s="151"/>
      <c r="MA6" s="151"/>
      <c r="MB6" s="151"/>
      <c r="MC6" s="151"/>
      <c r="MD6" s="151"/>
      <c r="ME6" s="151"/>
      <c r="MF6" s="151"/>
      <c r="MG6" s="151"/>
      <c r="MH6" s="151"/>
      <c r="MI6" s="151"/>
      <c r="MJ6" s="151"/>
      <c r="MK6" s="151"/>
      <c r="ML6" s="151"/>
      <c r="MM6" s="151"/>
      <c r="MN6" s="151"/>
      <c r="MO6" s="151"/>
      <c r="MP6" s="151"/>
      <c r="MQ6" s="151"/>
      <c r="MR6" s="151"/>
      <c r="MS6" s="151"/>
      <c r="MT6" s="151"/>
      <c r="MU6" s="151"/>
      <c r="MV6" s="151"/>
      <c r="MW6" s="151"/>
      <c r="MX6" s="151"/>
      <c r="MY6" s="151"/>
      <c r="MZ6" s="151"/>
      <c r="NA6" s="151"/>
      <c r="NB6" s="151"/>
      <c r="NC6" s="151"/>
      <c r="ND6" s="151"/>
      <c r="NE6" s="152"/>
    </row>
    <row r="7" spans="2:369" x14ac:dyDescent="0.25">
      <c r="B7" s="150" t="s">
        <v>41</v>
      </c>
      <c r="C7" s="151">
        <f t="shared" si="6"/>
        <v>0</v>
      </c>
      <c r="D7" s="151">
        <f t="shared" si="7"/>
        <v>0</v>
      </c>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1"/>
      <c r="CN7" s="151"/>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1"/>
      <c r="EG7" s="151"/>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1"/>
      <c r="FZ7" s="151"/>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1"/>
      <c r="HS7" s="151"/>
      <c r="HT7" s="151"/>
      <c r="HU7" s="151"/>
      <c r="HV7" s="151"/>
      <c r="HW7" s="151"/>
      <c r="HX7" s="151"/>
      <c r="HY7" s="151"/>
      <c r="HZ7" s="151"/>
      <c r="IA7" s="151"/>
      <c r="IB7" s="151"/>
      <c r="IC7" s="151"/>
      <c r="ID7" s="151"/>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1"/>
      <c r="JW7" s="151"/>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1"/>
      <c r="LP7" s="151"/>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2"/>
    </row>
    <row r="8" spans="2:369" x14ac:dyDescent="0.25">
      <c r="B8" s="150" t="s">
        <v>42</v>
      </c>
      <c r="C8" s="151">
        <f t="shared" si="6"/>
        <v>0</v>
      </c>
      <c r="D8" s="151">
        <f t="shared" si="7"/>
        <v>0</v>
      </c>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1"/>
      <c r="AY8" s="151"/>
      <c r="AZ8" s="151"/>
      <c r="BA8" s="151"/>
      <c r="BB8" s="151"/>
      <c r="BC8" s="151"/>
      <c r="BD8" s="151"/>
      <c r="BE8" s="151"/>
      <c r="BF8" s="151"/>
      <c r="BG8" s="151"/>
      <c r="BH8" s="151"/>
      <c r="BI8" s="151"/>
      <c r="BJ8" s="151"/>
      <c r="BK8" s="151"/>
      <c r="BL8" s="151"/>
      <c r="BM8" s="151"/>
      <c r="BN8" s="151"/>
      <c r="BO8" s="151"/>
      <c r="BP8" s="151"/>
      <c r="BQ8" s="151"/>
      <c r="BR8" s="151"/>
      <c r="BS8" s="151"/>
      <c r="BT8" s="151"/>
      <c r="BU8" s="151"/>
      <c r="BV8" s="151"/>
      <c r="BW8" s="151"/>
      <c r="BX8" s="151"/>
      <c r="BY8" s="151"/>
      <c r="BZ8" s="151"/>
      <c r="CA8" s="151"/>
      <c r="CB8" s="151"/>
      <c r="CC8" s="151"/>
      <c r="CD8" s="151"/>
      <c r="CE8" s="151"/>
      <c r="CF8" s="151"/>
      <c r="CG8" s="151"/>
      <c r="CH8" s="151"/>
      <c r="CI8" s="151"/>
      <c r="CJ8" s="151"/>
      <c r="CK8" s="151"/>
      <c r="CL8" s="151"/>
      <c r="CM8" s="151"/>
      <c r="CN8" s="151"/>
      <c r="CO8" s="151"/>
      <c r="CP8" s="151"/>
      <c r="CQ8" s="151"/>
      <c r="CR8" s="151"/>
      <c r="CS8" s="151"/>
      <c r="CT8" s="151"/>
      <c r="CU8" s="151"/>
      <c r="CV8" s="151"/>
      <c r="CW8" s="151"/>
      <c r="CX8" s="151"/>
      <c r="CY8" s="151"/>
      <c r="CZ8" s="151"/>
      <c r="DA8" s="151"/>
      <c r="DB8" s="151"/>
      <c r="DC8" s="151"/>
      <c r="DD8" s="151"/>
      <c r="DE8" s="151"/>
      <c r="DF8" s="151"/>
      <c r="DG8" s="151"/>
      <c r="DH8" s="151"/>
      <c r="DI8" s="151"/>
      <c r="DJ8" s="151"/>
      <c r="DK8" s="151"/>
      <c r="DL8" s="151"/>
      <c r="DM8" s="151"/>
      <c r="DN8" s="151"/>
      <c r="DO8" s="151"/>
      <c r="DP8" s="151"/>
      <c r="DQ8" s="151"/>
      <c r="DR8" s="151"/>
      <c r="DS8" s="151"/>
      <c r="DT8" s="151"/>
      <c r="DU8" s="151"/>
      <c r="DV8" s="151"/>
      <c r="DW8" s="151"/>
      <c r="DX8" s="151"/>
      <c r="DY8" s="151"/>
      <c r="DZ8" s="151"/>
      <c r="EA8" s="151"/>
      <c r="EB8" s="151"/>
      <c r="EC8" s="151"/>
      <c r="ED8" s="151"/>
      <c r="EE8" s="151"/>
      <c r="EF8" s="151"/>
      <c r="EG8" s="151"/>
      <c r="EH8" s="151"/>
      <c r="EI8" s="151"/>
      <c r="EJ8" s="151"/>
      <c r="EK8" s="151"/>
      <c r="EL8" s="151"/>
      <c r="EM8" s="151"/>
      <c r="EN8" s="151"/>
      <c r="EO8" s="151"/>
      <c r="EP8" s="151"/>
      <c r="EQ8" s="151"/>
      <c r="ER8" s="151"/>
      <c r="ES8" s="151"/>
      <c r="ET8" s="151"/>
      <c r="EU8" s="151"/>
      <c r="EV8" s="151"/>
      <c r="EW8" s="151"/>
      <c r="EX8" s="151"/>
      <c r="EY8" s="151"/>
      <c r="EZ8" s="151"/>
      <c r="FA8" s="151"/>
      <c r="FB8" s="151"/>
      <c r="FC8" s="151"/>
      <c r="FD8" s="151"/>
      <c r="FE8" s="151"/>
      <c r="FF8" s="151"/>
      <c r="FG8" s="151"/>
      <c r="FH8" s="151"/>
      <c r="FI8" s="151"/>
      <c r="FJ8" s="151"/>
      <c r="FK8" s="151"/>
      <c r="FL8" s="151"/>
      <c r="FM8" s="151"/>
      <c r="FN8" s="151"/>
      <c r="FO8" s="151"/>
      <c r="FP8" s="151"/>
      <c r="FQ8" s="151"/>
      <c r="FR8" s="151"/>
      <c r="FS8" s="151"/>
      <c r="FT8" s="151"/>
      <c r="FU8" s="151"/>
      <c r="FV8" s="151"/>
      <c r="FW8" s="151"/>
      <c r="FX8" s="151"/>
      <c r="FY8" s="151"/>
      <c r="FZ8" s="151"/>
      <c r="GA8" s="151"/>
      <c r="GB8" s="151"/>
      <c r="GC8" s="151"/>
      <c r="GD8" s="151"/>
      <c r="GE8" s="151"/>
      <c r="GF8" s="151"/>
      <c r="GG8" s="151"/>
      <c r="GH8" s="151"/>
      <c r="GI8" s="151"/>
      <c r="GJ8" s="151"/>
      <c r="GK8" s="151"/>
      <c r="GL8" s="151"/>
      <c r="GM8" s="151"/>
      <c r="GN8" s="151"/>
      <c r="GO8" s="151"/>
      <c r="GP8" s="151"/>
      <c r="GQ8" s="151"/>
      <c r="GR8" s="151"/>
      <c r="GS8" s="151"/>
      <c r="GT8" s="151"/>
      <c r="GU8" s="151"/>
      <c r="GV8" s="151"/>
      <c r="GW8" s="151"/>
      <c r="GX8" s="151"/>
      <c r="GY8" s="151"/>
      <c r="GZ8" s="151"/>
      <c r="HA8" s="151"/>
      <c r="HB8" s="151"/>
      <c r="HC8" s="151"/>
      <c r="HD8" s="151"/>
      <c r="HE8" s="151"/>
      <c r="HF8" s="151"/>
      <c r="HG8" s="151"/>
      <c r="HH8" s="151"/>
      <c r="HI8" s="151"/>
      <c r="HJ8" s="151"/>
      <c r="HK8" s="151"/>
      <c r="HL8" s="151"/>
      <c r="HM8" s="151"/>
      <c r="HN8" s="151"/>
      <c r="HO8" s="151"/>
      <c r="HP8" s="151"/>
      <c r="HQ8" s="151"/>
      <c r="HR8" s="151"/>
      <c r="HS8" s="151"/>
      <c r="HT8" s="151"/>
      <c r="HU8" s="151"/>
      <c r="HV8" s="151"/>
      <c r="HW8" s="151"/>
      <c r="HX8" s="151"/>
      <c r="HY8" s="151"/>
      <c r="HZ8" s="151"/>
      <c r="IA8" s="151"/>
      <c r="IB8" s="151"/>
      <c r="IC8" s="151"/>
      <c r="ID8" s="151"/>
      <c r="IE8" s="151"/>
      <c r="IF8" s="151"/>
      <c r="IG8" s="151"/>
      <c r="IH8" s="151"/>
      <c r="II8" s="151"/>
      <c r="IJ8" s="151"/>
      <c r="IK8" s="151"/>
      <c r="IL8" s="151"/>
      <c r="IM8" s="151"/>
      <c r="IN8" s="151"/>
      <c r="IO8" s="151"/>
      <c r="IP8" s="151"/>
      <c r="IQ8" s="151"/>
      <c r="IR8" s="151"/>
      <c r="IS8" s="151"/>
      <c r="IT8" s="151"/>
      <c r="IU8" s="151"/>
      <c r="IV8" s="151"/>
      <c r="IW8" s="151"/>
      <c r="IX8" s="151"/>
      <c r="IY8" s="151"/>
      <c r="IZ8" s="151"/>
      <c r="JA8" s="151"/>
      <c r="JB8" s="151"/>
      <c r="JC8" s="151"/>
      <c r="JD8" s="151"/>
      <c r="JE8" s="151"/>
      <c r="JF8" s="151"/>
      <c r="JG8" s="151"/>
      <c r="JH8" s="151"/>
      <c r="JI8" s="151"/>
      <c r="JJ8" s="151"/>
      <c r="JK8" s="151"/>
      <c r="JL8" s="151"/>
      <c r="JM8" s="151"/>
      <c r="JN8" s="151"/>
      <c r="JO8" s="151"/>
      <c r="JP8" s="151"/>
      <c r="JQ8" s="151"/>
      <c r="JR8" s="151"/>
      <c r="JS8" s="151"/>
      <c r="JT8" s="151"/>
      <c r="JU8" s="151"/>
      <c r="JV8" s="151"/>
      <c r="JW8" s="151"/>
      <c r="JX8" s="151"/>
      <c r="JY8" s="151"/>
      <c r="JZ8" s="151"/>
      <c r="KA8" s="151"/>
      <c r="KB8" s="151"/>
      <c r="KC8" s="151"/>
      <c r="KD8" s="151"/>
      <c r="KE8" s="151"/>
      <c r="KF8" s="151"/>
      <c r="KG8" s="151"/>
      <c r="KH8" s="151"/>
      <c r="KI8" s="151"/>
      <c r="KJ8" s="151"/>
      <c r="KK8" s="151"/>
      <c r="KL8" s="151"/>
      <c r="KM8" s="151"/>
      <c r="KN8" s="151"/>
      <c r="KO8" s="151"/>
      <c r="KP8" s="151"/>
      <c r="KQ8" s="151"/>
      <c r="KR8" s="151"/>
      <c r="KS8" s="151"/>
      <c r="KT8" s="151"/>
      <c r="KU8" s="151"/>
      <c r="KV8" s="151"/>
      <c r="KW8" s="151"/>
      <c r="KX8" s="151"/>
      <c r="KY8" s="151"/>
      <c r="KZ8" s="151"/>
      <c r="LA8" s="151"/>
      <c r="LB8" s="151"/>
      <c r="LC8" s="151"/>
      <c r="LD8" s="151"/>
      <c r="LE8" s="151"/>
      <c r="LF8" s="151"/>
      <c r="LG8" s="151"/>
      <c r="LH8" s="151"/>
      <c r="LI8" s="151"/>
      <c r="LJ8" s="151"/>
      <c r="LK8" s="151"/>
      <c r="LL8" s="151"/>
      <c r="LM8" s="151"/>
      <c r="LN8" s="151"/>
      <c r="LO8" s="151"/>
      <c r="LP8" s="151"/>
      <c r="LQ8" s="151"/>
      <c r="LR8" s="151"/>
      <c r="LS8" s="151"/>
      <c r="LT8" s="151"/>
      <c r="LU8" s="151"/>
      <c r="LV8" s="151"/>
      <c r="LW8" s="151"/>
      <c r="LX8" s="151"/>
      <c r="LY8" s="151"/>
      <c r="LZ8" s="151"/>
      <c r="MA8" s="151"/>
      <c r="MB8" s="151"/>
      <c r="MC8" s="151"/>
      <c r="MD8" s="151"/>
      <c r="ME8" s="151"/>
      <c r="MF8" s="151"/>
      <c r="MG8" s="151"/>
      <c r="MH8" s="151"/>
      <c r="MI8" s="151"/>
      <c r="MJ8" s="151"/>
      <c r="MK8" s="151"/>
      <c r="ML8" s="151"/>
      <c r="MM8" s="151"/>
      <c r="MN8" s="151"/>
      <c r="MO8" s="151"/>
      <c r="MP8" s="151"/>
      <c r="MQ8" s="151"/>
      <c r="MR8" s="151"/>
      <c r="MS8" s="151"/>
      <c r="MT8" s="151"/>
      <c r="MU8" s="151"/>
      <c r="MV8" s="151"/>
      <c r="MW8" s="151"/>
      <c r="MX8" s="151"/>
      <c r="MY8" s="151"/>
      <c r="MZ8" s="151"/>
      <c r="NA8" s="151"/>
      <c r="NB8" s="151"/>
      <c r="NC8" s="151"/>
      <c r="ND8" s="151"/>
      <c r="NE8" s="152"/>
    </row>
    <row r="9" spans="2:369" x14ac:dyDescent="0.25">
      <c r="B9" s="150" t="s">
        <v>43</v>
      </c>
      <c r="C9" s="151">
        <f t="shared" si="6"/>
        <v>0</v>
      </c>
      <c r="D9" s="151">
        <f t="shared" si="7"/>
        <v>0</v>
      </c>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1"/>
      <c r="CN9" s="151"/>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1"/>
      <c r="EG9" s="151"/>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1"/>
      <c r="FZ9" s="151"/>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1"/>
      <c r="HS9" s="151"/>
      <c r="HT9" s="151"/>
      <c r="HU9" s="151"/>
      <c r="HV9" s="151"/>
      <c r="HW9" s="151"/>
      <c r="HX9" s="151"/>
      <c r="HY9" s="151"/>
      <c r="HZ9" s="151"/>
      <c r="IA9" s="151"/>
      <c r="IB9" s="151"/>
      <c r="IC9" s="151"/>
      <c r="ID9" s="151"/>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1"/>
      <c r="JW9" s="151"/>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1"/>
      <c r="LP9" s="151"/>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2"/>
    </row>
    <row r="10" spans="2:369" x14ac:dyDescent="0.25">
      <c r="B10" s="150" t="s">
        <v>44</v>
      </c>
      <c r="C10" s="151">
        <f t="shared" si="6"/>
        <v>0</v>
      </c>
      <c r="D10" s="151">
        <f t="shared" si="7"/>
        <v>0</v>
      </c>
      <c r="E10" s="151"/>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151"/>
      <c r="BL10" s="151"/>
      <c r="BM10" s="151"/>
      <c r="BN10" s="151"/>
      <c r="BO10" s="151"/>
      <c r="BP10" s="151"/>
      <c r="BQ10" s="151"/>
      <c r="BR10" s="151"/>
      <c r="BS10" s="151"/>
      <c r="BT10" s="151"/>
      <c r="BU10" s="151"/>
      <c r="BV10" s="151"/>
      <c r="BW10" s="151"/>
      <c r="BX10" s="151"/>
      <c r="BY10" s="151"/>
      <c r="BZ10" s="151"/>
      <c r="CA10" s="151"/>
      <c r="CB10" s="151"/>
      <c r="CC10" s="151"/>
      <c r="CD10" s="151"/>
      <c r="CE10" s="151"/>
      <c r="CF10" s="151"/>
      <c r="CG10" s="151"/>
      <c r="CH10" s="151"/>
      <c r="CI10" s="151"/>
      <c r="CJ10" s="151"/>
      <c r="CK10" s="151"/>
      <c r="CL10" s="151"/>
      <c r="CM10" s="151"/>
      <c r="CN10" s="151"/>
      <c r="CO10" s="151"/>
      <c r="CP10" s="151"/>
      <c r="CQ10" s="151"/>
      <c r="CR10" s="151"/>
      <c r="CS10" s="151"/>
      <c r="CT10" s="151"/>
      <c r="CU10" s="151"/>
      <c r="CV10" s="151"/>
      <c r="CW10" s="151"/>
      <c r="CX10" s="151"/>
      <c r="CY10" s="151"/>
      <c r="CZ10" s="151"/>
      <c r="DA10" s="151"/>
      <c r="DB10" s="151"/>
      <c r="DC10" s="151"/>
      <c r="DD10" s="151"/>
      <c r="DE10" s="151"/>
      <c r="DF10" s="151"/>
      <c r="DG10" s="151"/>
      <c r="DH10" s="151"/>
      <c r="DI10" s="151"/>
      <c r="DJ10" s="151"/>
      <c r="DK10" s="151"/>
      <c r="DL10" s="151"/>
      <c r="DM10" s="151"/>
      <c r="DN10" s="151"/>
      <c r="DO10" s="151"/>
      <c r="DP10" s="151"/>
      <c r="DQ10" s="151"/>
      <c r="DR10" s="151"/>
      <c r="DS10" s="151"/>
      <c r="DT10" s="151"/>
      <c r="DU10" s="151"/>
      <c r="DV10" s="151"/>
      <c r="DW10" s="151"/>
      <c r="DX10" s="151"/>
      <c r="DY10" s="151"/>
      <c r="DZ10" s="151"/>
      <c r="EA10" s="151"/>
      <c r="EB10" s="151"/>
      <c r="EC10" s="151"/>
      <c r="ED10" s="151"/>
      <c r="EE10" s="151"/>
      <c r="EF10" s="151"/>
      <c r="EG10" s="151"/>
      <c r="EH10" s="151"/>
      <c r="EI10" s="151"/>
      <c r="EJ10" s="151"/>
      <c r="EK10" s="151"/>
      <c r="EL10" s="151"/>
      <c r="EM10" s="151"/>
      <c r="EN10" s="151"/>
      <c r="EO10" s="151"/>
      <c r="EP10" s="151"/>
      <c r="EQ10" s="151"/>
      <c r="ER10" s="151"/>
      <c r="ES10" s="151"/>
      <c r="ET10" s="151"/>
      <c r="EU10" s="151"/>
      <c r="EV10" s="151"/>
      <c r="EW10" s="151"/>
      <c r="EX10" s="151"/>
      <c r="EY10" s="151"/>
      <c r="EZ10" s="151"/>
      <c r="FA10" s="151"/>
      <c r="FB10" s="151"/>
      <c r="FC10" s="151"/>
      <c r="FD10" s="151"/>
      <c r="FE10" s="151"/>
      <c r="FF10" s="151"/>
      <c r="FG10" s="151"/>
      <c r="FH10" s="151"/>
      <c r="FI10" s="151"/>
      <c r="FJ10" s="151"/>
      <c r="FK10" s="151"/>
      <c r="FL10" s="151"/>
      <c r="FM10" s="151"/>
      <c r="FN10" s="151"/>
      <c r="FO10" s="151"/>
      <c r="FP10" s="151"/>
      <c r="FQ10" s="151"/>
      <c r="FR10" s="151"/>
      <c r="FS10" s="151"/>
      <c r="FT10" s="151"/>
      <c r="FU10" s="151"/>
      <c r="FV10" s="151"/>
      <c r="FW10" s="151"/>
      <c r="FX10" s="151"/>
      <c r="FY10" s="151"/>
      <c r="FZ10" s="151"/>
      <c r="GA10" s="151"/>
      <c r="GB10" s="151"/>
      <c r="GC10" s="151"/>
      <c r="GD10" s="151"/>
      <c r="GE10" s="151"/>
      <c r="GF10" s="151"/>
      <c r="GG10" s="151"/>
      <c r="GH10" s="151"/>
      <c r="GI10" s="151"/>
      <c r="GJ10" s="151"/>
      <c r="GK10" s="151"/>
      <c r="GL10" s="151"/>
      <c r="GM10" s="151"/>
      <c r="GN10" s="151"/>
      <c r="GO10" s="151"/>
      <c r="GP10" s="151"/>
      <c r="GQ10" s="151"/>
      <c r="GR10" s="151"/>
      <c r="GS10" s="151"/>
      <c r="GT10" s="151"/>
      <c r="GU10" s="151"/>
      <c r="GV10" s="151"/>
      <c r="GW10" s="151"/>
      <c r="GX10" s="151"/>
      <c r="GY10" s="151"/>
      <c r="GZ10" s="151"/>
      <c r="HA10" s="151"/>
      <c r="HB10" s="151"/>
      <c r="HC10" s="151"/>
      <c r="HD10" s="151"/>
      <c r="HE10" s="151"/>
      <c r="HF10" s="151"/>
      <c r="HG10" s="151"/>
      <c r="HH10" s="151"/>
      <c r="HI10" s="151"/>
      <c r="HJ10" s="151"/>
      <c r="HK10" s="151"/>
      <c r="HL10" s="151"/>
      <c r="HM10" s="151"/>
      <c r="HN10" s="151"/>
      <c r="HO10" s="151"/>
      <c r="HP10" s="151"/>
      <c r="HQ10" s="151"/>
      <c r="HR10" s="151"/>
      <c r="HS10" s="151"/>
      <c r="HT10" s="151"/>
      <c r="HU10" s="151"/>
      <c r="HV10" s="151"/>
      <c r="HW10" s="151"/>
      <c r="HX10" s="151"/>
      <c r="HY10" s="151"/>
      <c r="HZ10" s="151"/>
      <c r="IA10" s="151"/>
      <c r="IB10" s="151"/>
      <c r="IC10" s="151"/>
      <c r="ID10" s="151"/>
      <c r="IE10" s="151"/>
      <c r="IF10" s="151"/>
      <c r="IG10" s="151"/>
      <c r="IH10" s="151"/>
      <c r="II10" s="151"/>
      <c r="IJ10" s="151"/>
      <c r="IK10" s="151"/>
      <c r="IL10" s="151"/>
      <c r="IM10" s="151"/>
      <c r="IN10" s="151"/>
      <c r="IO10" s="151"/>
      <c r="IP10" s="151"/>
      <c r="IQ10" s="151"/>
      <c r="IR10" s="151"/>
      <c r="IS10" s="151"/>
      <c r="IT10" s="151"/>
      <c r="IU10" s="151"/>
      <c r="IV10" s="151"/>
      <c r="IW10" s="151"/>
      <c r="IX10" s="151"/>
      <c r="IY10" s="151"/>
      <c r="IZ10" s="151"/>
      <c r="JA10" s="151"/>
      <c r="JB10" s="151"/>
      <c r="JC10" s="151"/>
      <c r="JD10" s="151"/>
      <c r="JE10" s="151"/>
      <c r="JF10" s="151"/>
      <c r="JG10" s="151"/>
      <c r="JH10" s="151"/>
      <c r="JI10" s="151"/>
      <c r="JJ10" s="151"/>
      <c r="JK10" s="151"/>
      <c r="JL10" s="151"/>
      <c r="JM10" s="151"/>
      <c r="JN10" s="151"/>
      <c r="JO10" s="151"/>
      <c r="JP10" s="151"/>
      <c r="JQ10" s="151"/>
      <c r="JR10" s="151"/>
      <c r="JS10" s="151"/>
      <c r="JT10" s="151"/>
      <c r="JU10" s="151"/>
      <c r="JV10" s="151"/>
      <c r="JW10" s="151"/>
      <c r="JX10" s="151"/>
      <c r="JY10" s="151"/>
      <c r="JZ10" s="151"/>
      <c r="KA10" s="151"/>
      <c r="KB10" s="151"/>
      <c r="KC10" s="151"/>
      <c r="KD10" s="151"/>
      <c r="KE10" s="151"/>
      <c r="KF10" s="151"/>
      <c r="KG10" s="151"/>
      <c r="KH10" s="151"/>
      <c r="KI10" s="151"/>
      <c r="KJ10" s="151"/>
      <c r="KK10" s="151"/>
      <c r="KL10" s="151"/>
      <c r="KM10" s="151"/>
      <c r="KN10" s="151"/>
      <c r="KO10" s="151"/>
      <c r="KP10" s="151"/>
      <c r="KQ10" s="151"/>
      <c r="KR10" s="151"/>
      <c r="KS10" s="151"/>
      <c r="KT10" s="151"/>
      <c r="KU10" s="151"/>
      <c r="KV10" s="151"/>
      <c r="KW10" s="151"/>
      <c r="KX10" s="151"/>
      <c r="KY10" s="151"/>
      <c r="KZ10" s="151"/>
      <c r="LA10" s="151"/>
      <c r="LB10" s="151"/>
      <c r="LC10" s="151"/>
      <c r="LD10" s="151"/>
      <c r="LE10" s="151"/>
      <c r="LF10" s="151"/>
      <c r="LG10" s="151"/>
      <c r="LH10" s="151"/>
      <c r="LI10" s="151"/>
      <c r="LJ10" s="151"/>
      <c r="LK10" s="151"/>
      <c r="LL10" s="151"/>
      <c r="LM10" s="151"/>
      <c r="LN10" s="151"/>
      <c r="LO10" s="151"/>
      <c r="LP10" s="151"/>
      <c r="LQ10" s="151"/>
      <c r="LR10" s="151"/>
      <c r="LS10" s="151"/>
      <c r="LT10" s="151"/>
      <c r="LU10" s="151"/>
      <c r="LV10" s="151"/>
      <c r="LW10" s="151"/>
      <c r="LX10" s="151"/>
      <c r="LY10" s="151"/>
      <c r="LZ10" s="151"/>
      <c r="MA10" s="151"/>
      <c r="MB10" s="151"/>
      <c r="MC10" s="151"/>
      <c r="MD10" s="151"/>
      <c r="ME10" s="151"/>
      <c r="MF10" s="151"/>
      <c r="MG10" s="151"/>
      <c r="MH10" s="151"/>
      <c r="MI10" s="151"/>
      <c r="MJ10" s="151"/>
      <c r="MK10" s="151"/>
      <c r="ML10" s="151"/>
      <c r="MM10" s="151"/>
      <c r="MN10" s="151"/>
      <c r="MO10" s="151"/>
      <c r="MP10" s="151"/>
      <c r="MQ10" s="151"/>
      <c r="MR10" s="151"/>
      <c r="MS10" s="151"/>
      <c r="MT10" s="151"/>
      <c r="MU10" s="151"/>
      <c r="MV10" s="151"/>
      <c r="MW10" s="151"/>
      <c r="MX10" s="151"/>
      <c r="MY10" s="151"/>
      <c r="MZ10" s="151"/>
      <c r="NA10" s="151"/>
      <c r="NB10" s="151"/>
      <c r="NC10" s="151"/>
      <c r="ND10" s="151"/>
      <c r="NE10" s="152"/>
    </row>
    <row r="11" spans="2:369" x14ac:dyDescent="0.25">
      <c r="B11" s="150" t="s">
        <v>45</v>
      </c>
      <c r="C11" s="151">
        <f t="shared" si="6"/>
        <v>0</v>
      </c>
      <c r="D11" s="151">
        <f t="shared" si="7"/>
        <v>0</v>
      </c>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1"/>
      <c r="CN11" s="151"/>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1"/>
      <c r="EG11" s="151"/>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1"/>
      <c r="FZ11" s="151"/>
      <c r="GA11" s="151"/>
      <c r="GB11" s="151"/>
      <c r="GC11" s="151"/>
      <c r="GD11" s="151"/>
      <c r="GE11" s="151"/>
      <c r="GF11" s="151"/>
      <c r="GG11" s="151"/>
      <c r="GH11" s="151"/>
      <c r="GI11" s="151"/>
      <c r="GJ11" s="151"/>
      <c r="GK11" s="151"/>
      <c r="GL11" s="151"/>
      <c r="GM11" s="151"/>
      <c r="GN11" s="151"/>
      <c r="GO11" s="151"/>
      <c r="GP11" s="151"/>
      <c r="GQ11" s="151"/>
      <c r="GR11" s="151"/>
      <c r="GS11" s="151"/>
      <c r="GT11" s="151"/>
      <c r="GU11" s="151"/>
      <c r="GV11" s="151"/>
      <c r="GW11" s="151"/>
      <c r="GX11" s="151"/>
      <c r="GY11" s="151"/>
      <c r="GZ11" s="151"/>
      <c r="HA11" s="151"/>
      <c r="HB11" s="151"/>
      <c r="HC11" s="151"/>
      <c r="HD11" s="151"/>
      <c r="HE11" s="151"/>
      <c r="HF11" s="151"/>
      <c r="HG11" s="151"/>
      <c r="HH11" s="151"/>
      <c r="HI11" s="151"/>
      <c r="HJ11" s="151"/>
      <c r="HK11" s="151"/>
      <c r="HL11" s="151"/>
      <c r="HM11" s="151"/>
      <c r="HN11" s="151"/>
      <c r="HO11" s="151"/>
      <c r="HP11" s="151"/>
      <c r="HQ11" s="151"/>
      <c r="HR11" s="151"/>
      <c r="HS11" s="151"/>
      <c r="HT11" s="151"/>
      <c r="HU11" s="151"/>
      <c r="HV11" s="151"/>
      <c r="HW11" s="151"/>
      <c r="HX11" s="151"/>
      <c r="HY11" s="151"/>
      <c r="HZ11" s="151"/>
      <c r="IA11" s="151"/>
      <c r="IB11" s="151"/>
      <c r="IC11" s="151"/>
      <c r="ID11" s="151"/>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1"/>
      <c r="JW11" s="151"/>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1"/>
      <c r="LP11" s="151"/>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2"/>
    </row>
    <row r="12" spans="2:369" x14ac:dyDescent="0.25">
      <c r="B12" s="150" t="s">
        <v>46</v>
      </c>
      <c r="C12" s="151">
        <f t="shared" si="6"/>
        <v>0</v>
      </c>
      <c r="D12" s="151">
        <f t="shared" si="7"/>
        <v>0</v>
      </c>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151"/>
      <c r="BK12" s="151"/>
      <c r="BL12" s="151"/>
      <c r="BM12" s="151"/>
      <c r="BN12" s="151"/>
      <c r="BO12" s="151"/>
      <c r="BP12" s="151"/>
      <c r="BQ12" s="151"/>
      <c r="BR12" s="151"/>
      <c r="BS12" s="151"/>
      <c r="BT12" s="151"/>
      <c r="BU12" s="151"/>
      <c r="BV12" s="151"/>
      <c r="BW12" s="151"/>
      <c r="BX12" s="151"/>
      <c r="BY12" s="151"/>
      <c r="BZ12" s="151"/>
      <c r="CA12" s="151"/>
      <c r="CB12" s="151"/>
      <c r="CC12" s="151"/>
      <c r="CD12" s="151"/>
      <c r="CE12" s="151"/>
      <c r="CF12" s="151"/>
      <c r="CG12" s="151"/>
      <c r="CH12" s="151"/>
      <c r="CI12" s="151"/>
      <c r="CJ12" s="151"/>
      <c r="CK12" s="151"/>
      <c r="CL12" s="151"/>
      <c r="CM12" s="151"/>
      <c r="CN12" s="151"/>
      <c r="CO12" s="151"/>
      <c r="CP12" s="151"/>
      <c r="CQ12" s="151"/>
      <c r="CR12" s="151"/>
      <c r="CS12" s="151"/>
      <c r="CT12" s="151"/>
      <c r="CU12" s="151"/>
      <c r="CV12" s="151"/>
      <c r="CW12" s="151"/>
      <c r="CX12" s="151"/>
      <c r="CY12" s="151"/>
      <c r="CZ12" s="151"/>
      <c r="DA12" s="151"/>
      <c r="DB12" s="151"/>
      <c r="DC12" s="151"/>
      <c r="DD12" s="151"/>
      <c r="DE12" s="151"/>
      <c r="DF12" s="151"/>
      <c r="DG12" s="151"/>
      <c r="DH12" s="151"/>
      <c r="DI12" s="151"/>
      <c r="DJ12" s="151"/>
      <c r="DK12" s="151"/>
      <c r="DL12" s="151"/>
      <c r="DM12" s="151"/>
      <c r="DN12" s="151"/>
      <c r="DO12" s="151"/>
      <c r="DP12" s="151"/>
      <c r="DQ12" s="151"/>
      <c r="DR12" s="151"/>
      <c r="DS12" s="151"/>
      <c r="DT12" s="151"/>
      <c r="DU12" s="151"/>
      <c r="DV12" s="151"/>
      <c r="DW12" s="151"/>
      <c r="DX12" s="151"/>
      <c r="DY12" s="151"/>
      <c r="DZ12" s="151"/>
      <c r="EA12" s="151"/>
      <c r="EB12" s="151"/>
      <c r="EC12" s="151"/>
      <c r="ED12" s="151"/>
      <c r="EE12" s="151"/>
      <c r="EF12" s="151"/>
      <c r="EG12" s="151"/>
      <c r="EH12" s="151"/>
      <c r="EI12" s="151"/>
      <c r="EJ12" s="151"/>
      <c r="EK12" s="151"/>
      <c r="EL12" s="151"/>
      <c r="EM12" s="151"/>
      <c r="EN12" s="151"/>
      <c r="EO12" s="151"/>
      <c r="EP12" s="151"/>
      <c r="EQ12" s="151"/>
      <c r="ER12" s="151"/>
      <c r="ES12" s="151"/>
      <c r="ET12" s="151"/>
      <c r="EU12" s="151"/>
      <c r="EV12" s="151"/>
      <c r="EW12" s="151"/>
      <c r="EX12" s="151"/>
      <c r="EY12" s="151"/>
      <c r="EZ12" s="151"/>
      <c r="FA12" s="151"/>
      <c r="FB12" s="151"/>
      <c r="FC12" s="151"/>
      <c r="FD12" s="151"/>
      <c r="FE12" s="151"/>
      <c r="FF12" s="151"/>
      <c r="FG12" s="151"/>
      <c r="FH12" s="151"/>
      <c r="FI12" s="151"/>
      <c r="FJ12" s="151"/>
      <c r="FK12" s="151"/>
      <c r="FL12" s="151"/>
      <c r="FM12" s="151"/>
      <c r="FN12" s="151"/>
      <c r="FO12" s="151"/>
      <c r="FP12" s="151"/>
      <c r="FQ12" s="151"/>
      <c r="FR12" s="151"/>
      <c r="FS12" s="151"/>
      <c r="FT12" s="151"/>
      <c r="FU12" s="151"/>
      <c r="FV12" s="151"/>
      <c r="FW12" s="151"/>
      <c r="FX12" s="151"/>
      <c r="FY12" s="151"/>
      <c r="FZ12" s="151"/>
      <c r="GA12" s="151"/>
      <c r="GB12" s="151"/>
      <c r="GC12" s="151"/>
      <c r="GD12" s="151"/>
      <c r="GE12" s="151"/>
      <c r="GF12" s="151"/>
      <c r="GG12" s="151"/>
      <c r="GH12" s="151"/>
      <c r="GI12" s="151"/>
      <c r="GJ12" s="151"/>
      <c r="GK12" s="151"/>
      <c r="GL12" s="151"/>
      <c r="GM12" s="151"/>
      <c r="GN12" s="151"/>
      <c r="GO12" s="151"/>
      <c r="GP12" s="151"/>
      <c r="GQ12" s="151"/>
      <c r="GR12" s="151"/>
      <c r="GS12" s="151"/>
      <c r="GT12" s="151"/>
      <c r="GU12" s="151"/>
      <c r="GV12" s="151"/>
      <c r="GW12" s="151"/>
      <c r="GX12" s="151"/>
      <c r="GY12" s="151"/>
      <c r="GZ12" s="151"/>
      <c r="HA12" s="151"/>
      <c r="HB12" s="151"/>
      <c r="HC12" s="151"/>
      <c r="HD12" s="151"/>
      <c r="HE12" s="151"/>
      <c r="HF12" s="151"/>
      <c r="HG12" s="151"/>
      <c r="HH12" s="151"/>
      <c r="HI12" s="151"/>
      <c r="HJ12" s="151"/>
      <c r="HK12" s="151"/>
      <c r="HL12" s="151"/>
      <c r="HM12" s="151"/>
      <c r="HN12" s="151"/>
      <c r="HO12" s="151"/>
      <c r="HP12" s="151"/>
      <c r="HQ12" s="151"/>
      <c r="HR12" s="151"/>
      <c r="HS12" s="151"/>
      <c r="HT12" s="151"/>
      <c r="HU12" s="151"/>
      <c r="HV12" s="151"/>
      <c r="HW12" s="151"/>
      <c r="HX12" s="151"/>
      <c r="HY12" s="151"/>
      <c r="HZ12" s="151"/>
      <c r="IA12" s="151"/>
      <c r="IB12" s="151"/>
      <c r="IC12" s="151"/>
      <c r="ID12" s="151"/>
      <c r="IE12" s="151"/>
      <c r="IF12" s="151"/>
      <c r="IG12" s="151"/>
      <c r="IH12" s="151"/>
      <c r="II12" s="151"/>
      <c r="IJ12" s="151"/>
      <c r="IK12" s="151"/>
      <c r="IL12" s="151"/>
      <c r="IM12" s="151"/>
      <c r="IN12" s="151"/>
      <c r="IO12" s="151"/>
      <c r="IP12" s="151"/>
      <c r="IQ12" s="151"/>
      <c r="IR12" s="151"/>
      <c r="IS12" s="151"/>
      <c r="IT12" s="151"/>
      <c r="IU12" s="151"/>
      <c r="IV12" s="151"/>
      <c r="IW12" s="151"/>
      <c r="IX12" s="151"/>
      <c r="IY12" s="151"/>
      <c r="IZ12" s="151"/>
      <c r="JA12" s="151"/>
      <c r="JB12" s="151"/>
      <c r="JC12" s="151"/>
      <c r="JD12" s="151"/>
      <c r="JE12" s="151"/>
      <c r="JF12" s="151"/>
      <c r="JG12" s="151"/>
      <c r="JH12" s="151"/>
      <c r="JI12" s="151"/>
      <c r="JJ12" s="151"/>
      <c r="JK12" s="151"/>
      <c r="JL12" s="151"/>
      <c r="JM12" s="151"/>
      <c r="JN12" s="151"/>
      <c r="JO12" s="151"/>
      <c r="JP12" s="151"/>
      <c r="JQ12" s="151"/>
      <c r="JR12" s="151"/>
      <c r="JS12" s="151"/>
      <c r="JT12" s="151"/>
      <c r="JU12" s="151"/>
      <c r="JV12" s="151"/>
      <c r="JW12" s="151"/>
      <c r="JX12" s="151"/>
      <c r="JY12" s="151"/>
      <c r="JZ12" s="151"/>
      <c r="KA12" s="151"/>
      <c r="KB12" s="151"/>
      <c r="KC12" s="151"/>
      <c r="KD12" s="151"/>
      <c r="KE12" s="151"/>
      <c r="KF12" s="151"/>
      <c r="KG12" s="151"/>
      <c r="KH12" s="151"/>
      <c r="KI12" s="151"/>
      <c r="KJ12" s="151"/>
      <c r="KK12" s="151"/>
      <c r="KL12" s="151"/>
      <c r="KM12" s="151"/>
      <c r="KN12" s="151"/>
      <c r="KO12" s="151"/>
      <c r="KP12" s="151"/>
      <c r="KQ12" s="151"/>
      <c r="KR12" s="151"/>
      <c r="KS12" s="151"/>
      <c r="KT12" s="151"/>
      <c r="KU12" s="151"/>
      <c r="KV12" s="151"/>
      <c r="KW12" s="151"/>
      <c r="KX12" s="151"/>
      <c r="KY12" s="151"/>
      <c r="KZ12" s="151"/>
      <c r="LA12" s="151"/>
      <c r="LB12" s="151"/>
      <c r="LC12" s="151"/>
      <c r="LD12" s="151"/>
      <c r="LE12" s="151"/>
      <c r="LF12" s="151"/>
      <c r="LG12" s="151"/>
      <c r="LH12" s="151"/>
      <c r="LI12" s="151"/>
      <c r="LJ12" s="151"/>
      <c r="LK12" s="151"/>
      <c r="LL12" s="151"/>
      <c r="LM12" s="151"/>
      <c r="LN12" s="151"/>
      <c r="LO12" s="151"/>
      <c r="LP12" s="151"/>
      <c r="LQ12" s="151"/>
      <c r="LR12" s="151"/>
      <c r="LS12" s="151"/>
      <c r="LT12" s="151"/>
      <c r="LU12" s="151"/>
      <c r="LV12" s="151"/>
      <c r="LW12" s="151"/>
      <c r="LX12" s="151"/>
      <c r="LY12" s="151"/>
      <c r="LZ12" s="151"/>
      <c r="MA12" s="151"/>
      <c r="MB12" s="151"/>
      <c r="MC12" s="151"/>
      <c r="MD12" s="151"/>
      <c r="ME12" s="151"/>
      <c r="MF12" s="151"/>
      <c r="MG12" s="151"/>
      <c r="MH12" s="151"/>
      <c r="MI12" s="151"/>
      <c r="MJ12" s="151"/>
      <c r="MK12" s="151"/>
      <c r="ML12" s="151"/>
      <c r="MM12" s="151"/>
      <c r="MN12" s="151"/>
      <c r="MO12" s="151"/>
      <c r="MP12" s="151"/>
      <c r="MQ12" s="151"/>
      <c r="MR12" s="151"/>
      <c r="MS12" s="151"/>
      <c r="MT12" s="151"/>
      <c r="MU12" s="151"/>
      <c r="MV12" s="151"/>
      <c r="MW12" s="151"/>
      <c r="MX12" s="151"/>
      <c r="MY12" s="151"/>
      <c r="MZ12" s="151"/>
      <c r="NA12" s="151"/>
      <c r="NB12" s="151"/>
      <c r="NC12" s="151"/>
      <c r="ND12" s="151"/>
      <c r="NE12" s="152"/>
    </row>
    <row r="13" spans="2:369" x14ac:dyDescent="0.25">
      <c r="B13" s="153" t="s">
        <v>47</v>
      </c>
      <c r="C13" s="154">
        <f t="shared" si="6"/>
        <v>0</v>
      </c>
      <c r="D13" s="154">
        <f t="shared" si="7"/>
        <v>0</v>
      </c>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54"/>
      <c r="BF13" s="154"/>
      <c r="BG13" s="154"/>
      <c r="BH13" s="154"/>
      <c r="BI13" s="154"/>
      <c r="BJ13" s="154"/>
      <c r="BK13" s="154"/>
      <c r="BL13" s="154"/>
      <c r="BM13" s="154"/>
      <c r="BN13" s="154"/>
      <c r="BO13" s="154"/>
      <c r="BP13" s="154"/>
      <c r="BQ13" s="154"/>
      <c r="BR13" s="154"/>
      <c r="BS13" s="154"/>
      <c r="BT13" s="154"/>
      <c r="BU13" s="154"/>
      <c r="BV13" s="154"/>
      <c r="BW13" s="154"/>
      <c r="BX13" s="154"/>
      <c r="BY13" s="154"/>
      <c r="BZ13" s="154"/>
      <c r="CA13" s="154"/>
      <c r="CB13" s="154"/>
      <c r="CC13" s="154"/>
      <c r="CD13" s="154"/>
      <c r="CE13" s="154"/>
      <c r="CF13" s="154"/>
      <c r="CG13" s="154"/>
      <c r="CH13" s="154"/>
      <c r="CI13" s="154"/>
      <c r="CJ13" s="154"/>
      <c r="CK13" s="154"/>
      <c r="CL13" s="154"/>
      <c r="CM13" s="154"/>
      <c r="CN13" s="154"/>
      <c r="CO13" s="154"/>
      <c r="CP13" s="154"/>
      <c r="CQ13" s="154"/>
      <c r="CR13" s="154"/>
      <c r="CS13" s="154"/>
      <c r="CT13" s="154"/>
      <c r="CU13" s="154"/>
      <c r="CV13" s="154"/>
      <c r="CW13" s="154"/>
      <c r="CX13" s="154"/>
      <c r="CY13" s="154"/>
      <c r="CZ13" s="154"/>
      <c r="DA13" s="154"/>
      <c r="DB13" s="154"/>
      <c r="DC13" s="154"/>
      <c r="DD13" s="154"/>
      <c r="DE13" s="154"/>
      <c r="DF13" s="154"/>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c r="EL13" s="154"/>
      <c r="EM13" s="154"/>
      <c r="EN13" s="154"/>
      <c r="EO13" s="154"/>
      <c r="EP13" s="154"/>
      <c r="EQ13" s="154"/>
      <c r="ER13" s="154"/>
      <c r="ES13" s="154"/>
      <c r="ET13" s="154"/>
      <c r="EU13" s="154"/>
      <c r="EV13" s="154"/>
      <c r="EW13" s="154"/>
      <c r="EX13" s="154"/>
      <c r="EY13" s="154"/>
      <c r="EZ13" s="154"/>
      <c r="FA13" s="154"/>
      <c r="FB13" s="154"/>
      <c r="FC13" s="154"/>
      <c r="FD13" s="154"/>
      <c r="FE13" s="154"/>
      <c r="FF13" s="154"/>
      <c r="FG13" s="154"/>
      <c r="FH13" s="154"/>
      <c r="FI13" s="154"/>
      <c r="FJ13" s="154"/>
      <c r="FK13" s="154"/>
      <c r="FL13" s="154"/>
      <c r="FM13" s="154"/>
      <c r="FN13" s="154"/>
      <c r="FO13" s="154"/>
      <c r="FP13" s="154"/>
      <c r="FQ13" s="154"/>
      <c r="FR13" s="154"/>
      <c r="FS13" s="154"/>
      <c r="FT13" s="154"/>
      <c r="FU13" s="154"/>
      <c r="FV13" s="154"/>
      <c r="FW13" s="154"/>
      <c r="FX13" s="154"/>
      <c r="FY13" s="154"/>
      <c r="FZ13" s="154"/>
      <c r="GA13" s="154"/>
      <c r="GB13" s="154"/>
      <c r="GC13" s="154"/>
      <c r="GD13" s="154"/>
      <c r="GE13" s="154"/>
      <c r="GF13" s="154"/>
      <c r="GG13" s="154"/>
      <c r="GH13" s="154"/>
      <c r="GI13" s="154"/>
      <c r="GJ13" s="154"/>
      <c r="GK13" s="154"/>
      <c r="GL13" s="154"/>
      <c r="GM13" s="154"/>
      <c r="GN13" s="154"/>
      <c r="GO13" s="154"/>
      <c r="GP13" s="154"/>
      <c r="GQ13" s="154"/>
      <c r="GR13" s="154"/>
      <c r="GS13" s="154"/>
      <c r="GT13" s="154"/>
      <c r="GU13" s="154"/>
      <c r="GV13" s="154"/>
      <c r="GW13" s="154"/>
      <c r="GX13" s="154"/>
      <c r="GY13" s="154"/>
      <c r="GZ13" s="154"/>
      <c r="HA13" s="154"/>
      <c r="HB13" s="154"/>
      <c r="HC13" s="154"/>
      <c r="HD13" s="154"/>
      <c r="HE13" s="154"/>
      <c r="HF13" s="154"/>
      <c r="HG13" s="154"/>
      <c r="HH13" s="154"/>
      <c r="HI13" s="154"/>
      <c r="HJ13" s="154"/>
      <c r="HK13" s="154"/>
      <c r="HL13" s="154"/>
      <c r="HM13" s="154"/>
      <c r="HN13" s="154"/>
      <c r="HO13" s="154"/>
      <c r="HP13" s="154"/>
      <c r="HQ13" s="154"/>
      <c r="HR13" s="154"/>
      <c r="HS13" s="154"/>
      <c r="HT13" s="154"/>
      <c r="HU13" s="154"/>
      <c r="HV13" s="154"/>
      <c r="HW13" s="154"/>
      <c r="HX13" s="154"/>
      <c r="HY13" s="154"/>
      <c r="HZ13" s="154"/>
      <c r="IA13" s="154"/>
      <c r="IB13" s="154"/>
      <c r="IC13" s="154"/>
      <c r="ID13" s="154"/>
      <c r="IE13" s="154"/>
      <c r="IF13" s="154"/>
      <c r="IG13" s="154"/>
      <c r="IH13" s="154"/>
      <c r="II13" s="154"/>
      <c r="IJ13" s="154"/>
      <c r="IK13" s="154"/>
      <c r="IL13" s="154"/>
      <c r="IM13" s="154"/>
      <c r="IN13" s="154"/>
      <c r="IO13" s="154"/>
      <c r="IP13" s="154"/>
      <c r="IQ13" s="154"/>
      <c r="IR13" s="154"/>
      <c r="IS13" s="154"/>
      <c r="IT13" s="154"/>
      <c r="IU13" s="154"/>
      <c r="IV13" s="154"/>
      <c r="IW13" s="154"/>
      <c r="IX13" s="154"/>
      <c r="IY13" s="154"/>
      <c r="IZ13" s="154"/>
      <c r="JA13" s="154"/>
      <c r="JB13" s="154"/>
      <c r="JC13" s="154"/>
      <c r="JD13" s="154"/>
      <c r="JE13" s="154"/>
      <c r="JF13" s="154"/>
      <c r="JG13" s="154"/>
      <c r="JH13" s="154"/>
      <c r="JI13" s="154"/>
      <c r="JJ13" s="154"/>
      <c r="JK13" s="154"/>
      <c r="JL13" s="154"/>
      <c r="JM13" s="154"/>
      <c r="JN13" s="154"/>
      <c r="JO13" s="154"/>
      <c r="JP13" s="154"/>
      <c r="JQ13" s="154"/>
      <c r="JR13" s="154"/>
      <c r="JS13" s="154"/>
      <c r="JT13" s="154"/>
      <c r="JU13" s="154"/>
      <c r="JV13" s="154"/>
      <c r="JW13" s="154"/>
      <c r="JX13" s="154"/>
      <c r="JY13" s="154"/>
      <c r="JZ13" s="154"/>
      <c r="KA13" s="154"/>
      <c r="KB13" s="154"/>
      <c r="KC13" s="154"/>
      <c r="KD13" s="154"/>
      <c r="KE13" s="154"/>
      <c r="KF13" s="154"/>
      <c r="KG13" s="154"/>
      <c r="KH13" s="154"/>
      <c r="KI13" s="154"/>
      <c r="KJ13" s="154"/>
      <c r="KK13" s="154"/>
      <c r="KL13" s="154"/>
      <c r="KM13" s="154"/>
      <c r="KN13" s="154"/>
      <c r="KO13" s="154"/>
      <c r="KP13" s="154"/>
      <c r="KQ13" s="154"/>
      <c r="KR13" s="154"/>
      <c r="KS13" s="154"/>
      <c r="KT13" s="154"/>
      <c r="KU13" s="154"/>
      <c r="KV13" s="154"/>
      <c r="KW13" s="154"/>
      <c r="KX13" s="154"/>
      <c r="KY13" s="154"/>
      <c r="KZ13" s="154"/>
      <c r="LA13" s="154"/>
      <c r="LB13" s="154"/>
      <c r="LC13" s="154"/>
      <c r="LD13" s="154"/>
      <c r="LE13" s="154"/>
      <c r="LF13" s="154"/>
      <c r="LG13" s="154"/>
      <c r="LH13" s="154"/>
      <c r="LI13" s="154"/>
      <c r="LJ13" s="154"/>
      <c r="LK13" s="154"/>
      <c r="LL13" s="154"/>
      <c r="LM13" s="154"/>
      <c r="LN13" s="154"/>
      <c r="LO13" s="154"/>
      <c r="LP13" s="154"/>
      <c r="LQ13" s="154"/>
      <c r="LR13" s="154"/>
      <c r="LS13" s="154"/>
      <c r="LT13" s="154"/>
      <c r="LU13" s="154"/>
      <c r="LV13" s="154"/>
      <c r="LW13" s="154"/>
      <c r="LX13" s="154"/>
      <c r="LY13" s="154"/>
      <c r="LZ13" s="154"/>
      <c r="MA13" s="154"/>
      <c r="MB13" s="154"/>
      <c r="MC13" s="154"/>
      <c r="MD13" s="154"/>
      <c r="ME13" s="154"/>
      <c r="MF13" s="154"/>
      <c r="MG13" s="154"/>
      <c r="MH13" s="154"/>
      <c r="MI13" s="154"/>
      <c r="MJ13" s="154"/>
      <c r="MK13" s="154"/>
      <c r="ML13" s="154"/>
      <c r="MM13" s="154"/>
      <c r="MN13" s="154"/>
      <c r="MO13" s="154"/>
      <c r="MP13" s="154"/>
      <c r="MQ13" s="154"/>
      <c r="MR13" s="154"/>
      <c r="MS13" s="154"/>
      <c r="MT13" s="154"/>
      <c r="MU13" s="154"/>
      <c r="MV13" s="154"/>
      <c r="MW13" s="154"/>
      <c r="MX13" s="154"/>
      <c r="MY13" s="154"/>
      <c r="MZ13" s="154"/>
      <c r="NA13" s="154"/>
      <c r="NB13" s="154"/>
      <c r="NC13" s="154"/>
      <c r="ND13" s="154"/>
      <c r="NE13" s="155"/>
    </row>
    <row r="14" spans="2:369" x14ac:dyDescent="0.25">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row>
    <row r="15" spans="2:369" x14ac:dyDescent="0.2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row>
    <row r="16" spans="2:369" x14ac:dyDescent="0.25">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row>
    <row r="17" spans="2:369" x14ac:dyDescent="0.25">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row>
    <row r="18" spans="2:369" x14ac:dyDescent="0.25">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row>
    <row r="19" spans="2:369" x14ac:dyDescent="0.25">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row>
    <row r="20" spans="2:369" x14ac:dyDescent="0.25">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row>
    <row r="21" spans="2:369" x14ac:dyDescent="0.25">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row>
    <row r="22" spans="2:369" x14ac:dyDescent="0.25">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row>
    <row r="23" spans="2:369" x14ac:dyDescent="0.25">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row>
    <row r="24" spans="2:369" x14ac:dyDescent="0.25">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row>
    <row r="25" spans="2:369" x14ac:dyDescent="0.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row>
    <row r="26" spans="2:369" x14ac:dyDescent="0.25">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row>
    <row r="27" spans="2:369" x14ac:dyDescent="0.25">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row>
    <row r="28" spans="2:369" x14ac:dyDescent="0.25">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row>
    <row r="29" spans="2:369" x14ac:dyDescent="0.25">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row>
    <row r="30" spans="2:369" x14ac:dyDescent="0.25">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row>
    <row r="31" spans="2:369" x14ac:dyDescent="0.25">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row>
    <row r="32" spans="2:369" x14ac:dyDescent="0.25">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row>
    <row r="33" spans="2:369" x14ac:dyDescent="0.25">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row>
    <row r="34" spans="2:369" x14ac:dyDescent="0.25">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row>
    <row r="35" spans="2:369" x14ac:dyDescent="0.2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row>
    <row r="36" spans="2:369" x14ac:dyDescent="0.25">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row>
    <row r="37" spans="2:369" x14ac:dyDescent="0.25">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row>
    <row r="38" spans="2:369" x14ac:dyDescent="0.25">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row>
    <row r="39" spans="2:369" x14ac:dyDescent="0.25">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row>
    <row r="40" spans="2:369" x14ac:dyDescent="0.25">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row>
    <row r="41" spans="2:369" x14ac:dyDescent="0.25">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row>
    <row r="42" spans="2:369" x14ac:dyDescent="0.25">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row>
  </sheetData>
  <phoneticPr fontId="19" type="noConversion"/>
  <conditionalFormatting sqref="E3:NE52">
    <cfRule type="expression" dxfId="411" priority="4">
      <formula>IF(AND(DAY(E$2)=DAY(TODAY()),MONTH(E$2)=MONTH(TODAY())),1,0)</formula>
    </cfRule>
  </conditionalFormatting>
  <conditionalFormatting sqref="E4:NE13">
    <cfRule type="beginsWith" dxfId="410" priority="2" operator="beginsWith" text="a">
      <formula>LEFT(E4,LEN("a"))="a"</formula>
    </cfRule>
    <cfRule type="beginsWith" dxfId="409" priority="1" operator="beginsWith" text="l">
      <formula>LEFT(E4,LEN("l"))="l"</formula>
    </cfRule>
  </conditionalFormatting>
  <dataValidations count="1">
    <dataValidation type="list" errorStyle="information" allowBlank="1" sqref="E4:NE13" xr:uid="{00000000-0002-0000-0400-000000000000}">
      <formula1>"a,l"</formula1>
    </dataValidation>
  </dataValidations>
  <pageMargins left="0.7" right="0.7" top="0.75" bottom="0.75" header="0.3" footer="0.3"/>
  <pageSetup orientation="portrait" horizontalDpi="4294967293"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Data Entry</vt:lpstr>
      <vt:lpstr>Options and Things to Try</vt:lpstr>
      <vt:lpstr>Explore</vt:lpstr>
      <vt:lpstr>Printouts</vt:lpstr>
      <vt:lpstr>Absences</vt:lpstr>
      <vt:lpstr>ColorTable</vt:lpstr>
      <vt:lpstr>Greenthreshold</vt:lpstr>
      <vt:lpstr>PercentageBreakdownCells</vt:lpstr>
      <vt:lpstr>'Data Entry'!Print_Area</vt:lpstr>
      <vt:lpstr>Printouts!Print_Area</vt:lpstr>
      <vt:lpstr>'Data Entry'!Print_Titles</vt:lpstr>
      <vt:lpstr>Printouts!Print_Titles</vt:lpstr>
      <vt:lpstr>Yellowthreshold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2020-08-15T20:36:30Z</dcterms:created>
  <dcterms:modified xsi:type="dcterms:W3CDTF">2020-08-16T13:33:00Z</dcterms:modified>
</cp:coreProperties>
</file>