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5.xml" ContentType="application/vnd.openxmlformats-officedocument.drawing+xml"/>
  <Override PartName="/xl/drawings/drawing6.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bbott\Desktop\"/>
    </mc:Choice>
  </mc:AlternateContent>
  <bookViews>
    <workbookView xWindow="0" yWindow="0" windowWidth="21570" windowHeight="5070" tabRatio="879"/>
  </bookViews>
  <sheets>
    <sheet name="Data Entry" sheetId="1" r:id="rId1"/>
    <sheet name="Options and Things to Try" sheetId="2" r:id="rId2"/>
    <sheet name="Distribution" sheetId="4" r:id="rId3"/>
    <sheet name="Explore" sheetId="3" r:id="rId4"/>
    <sheet name="Print" sheetId="5" r:id="rId5"/>
    <sheet name="Absences" sheetId="7" state="hidden" r:id="rId6"/>
  </sheets>
  <definedNames>
    <definedName name="ColorTable">'Options and Things to Try'!$B$4</definedName>
    <definedName name="GradeGoal">'Options and Things to Try'!$B$5</definedName>
    <definedName name="_xlnm.Print_Titles" localSheetId="4">Print!$1:$14</definedName>
  </definedNames>
  <calcPr calcId="152511"/>
  <pivotCaches>
    <pivotCache cacheId="21"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7" l="1"/>
  <c r="C4" i="7"/>
  <c r="C5" i="7"/>
  <c r="C6" i="7"/>
  <c r="C7" i="7"/>
  <c r="C8" i="7"/>
  <c r="C9" i="7"/>
  <c r="C10" i="7"/>
  <c r="C11" i="7"/>
  <c r="B3" i="7"/>
  <c r="B4" i="7"/>
  <c r="B5" i="7"/>
  <c r="B6" i="7"/>
  <c r="B7" i="7"/>
  <c r="B8" i="7"/>
  <c r="B9" i="7"/>
  <c r="B10" i="7"/>
  <c r="B11" i="7"/>
  <c r="C2" i="7"/>
  <c r="B2" i="7"/>
  <c r="D14" i="2" l="1"/>
  <c r="D19" i="2"/>
  <c r="D18" i="2"/>
  <c r="C18" i="2" l="1"/>
  <c r="C19" i="2"/>
  <c r="T6" i="1"/>
  <c r="U6" i="1"/>
  <c r="V6" i="1"/>
  <c r="W6" i="1"/>
  <c r="X6" i="1"/>
  <c r="Y6" i="1"/>
  <c r="Z6" i="1"/>
  <c r="AA6" i="1"/>
  <c r="AB6" i="1"/>
  <c r="AC6" i="1"/>
  <c r="AD6" i="1"/>
  <c r="AE6" i="1"/>
  <c r="AF6" i="1"/>
  <c r="AG6" i="1"/>
  <c r="AH6" i="1"/>
  <c r="AI6" i="1"/>
  <c r="AJ6" i="1"/>
  <c r="AK6" i="1"/>
  <c r="AL6" i="1"/>
  <c r="AM6" i="1"/>
  <c r="AN6" i="1"/>
  <c r="AO6" i="1"/>
  <c r="AP6" i="1"/>
  <c r="AQ6" i="1"/>
  <c r="AR6" i="1"/>
  <c r="AS6" i="1"/>
  <c r="AT6" i="1"/>
  <c r="AU6" i="1"/>
  <c r="AV6" i="1"/>
  <c r="AW6" i="1"/>
  <c r="T7" i="1"/>
  <c r="U7" i="1"/>
  <c r="V7" i="1"/>
  <c r="W7" i="1"/>
  <c r="X7" i="1"/>
  <c r="Y7" i="1"/>
  <c r="Z7" i="1"/>
  <c r="AA7" i="1"/>
  <c r="AB7" i="1"/>
  <c r="AC7" i="1"/>
  <c r="AD7" i="1"/>
  <c r="AE7" i="1"/>
  <c r="AF7" i="1"/>
  <c r="AG7" i="1"/>
  <c r="AH7" i="1"/>
  <c r="AI7" i="1"/>
  <c r="AJ7" i="1"/>
  <c r="AK7" i="1"/>
  <c r="AL7" i="1"/>
  <c r="AM7" i="1"/>
  <c r="AN7" i="1"/>
  <c r="AO7" i="1"/>
  <c r="AP7" i="1"/>
  <c r="AQ7" i="1"/>
  <c r="AR7" i="1"/>
  <c r="AS7" i="1"/>
  <c r="AT7" i="1"/>
  <c r="AU7" i="1"/>
  <c r="AV7" i="1"/>
  <c r="AW7" i="1"/>
  <c r="T8" i="1"/>
  <c r="U8" i="1"/>
  <c r="V8" i="1"/>
  <c r="W8" i="1"/>
  <c r="X8" i="1"/>
  <c r="Y8" i="1"/>
  <c r="Z8" i="1"/>
  <c r="AA8" i="1"/>
  <c r="AB8" i="1"/>
  <c r="AC8" i="1"/>
  <c r="AD8" i="1"/>
  <c r="AE8" i="1"/>
  <c r="AF8" i="1"/>
  <c r="AG8" i="1"/>
  <c r="AH8" i="1"/>
  <c r="AI8" i="1"/>
  <c r="AJ8" i="1"/>
  <c r="AK8" i="1"/>
  <c r="AL8" i="1"/>
  <c r="AM8" i="1"/>
  <c r="AN8" i="1"/>
  <c r="AO8" i="1"/>
  <c r="AP8" i="1"/>
  <c r="AQ8" i="1"/>
  <c r="AR8" i="1"/>
  <c r="AS8" i="1"/>
  <c r="AT8" i="1"/>
  <c r="AU8" i="1"/>
  <c r="AV8" i="1"/>
  <c r="AW8" i="1"/>
  <c r="T9" i="1"/>
  <c r="U9" i="1"/>
  <c r="V9" i="1"/>
  <c r="W9" i="1"/>
  <c r="X9" i="1"/>
  <c r="Y9" i="1"/>
  <c r="Z9" i="1"/>
  <c r="AA9" i="1"/>
  <c r="AB9" i="1"/>
  <c r="AC9" i="1"/>
  <c r="AD9" i="1"/>
  <c r="AE9" i="1"/>
  <c r="AF9" i="1"/>
  <c r="AG9" i="1"/>
  <c r="AH9" i="1"/>
  <c r="AI9" i="1"/>
  <c r="AJ9" i="1"/>
  <c r="AK9" i="1"/>
  <c r="AL9" i="1"/>
  <c r="AM9" i="1"/>
  <c r="AN9" i="1"/>
  <c r="AO9" i="1"/>
  <c r="AP9" i="1"/>
  <c r="AQ9" i="1"/>
  <c r="AR9" i="1"/>
  <c r="AS9" i="1"/>
  <c r="AT9" i="1"/>
  <c r="AU9" i="1"/>
  <c r="AV9" i="1"/>
  <c r="AW9" i="1"/>
  <c r="T10" i="1"/>
  <c r="U10" i="1"/>
  <c r="V10" i="1"/>
  <c r="W10" i="1"/>
  <c r="X10" i="1"/>
  <c r="Y10" i="1"/>
  <c r="Z10" i="1"/>
  <c r="AA10" i="1"/>
  <c r="AB10" i="1"/>
  <c r="AC10" i="1"/>
  <c r="AD10" i="1"/>
  <c r="AE10" i="1"/>
  <c r="AF10" i="1"/>
  <c r="AG10" i="1"/>
  <c r="AH10" i="1"/>
  <c r="AI10" i="1"/>
  <c r="AJ10" i="1"/>
  <c r="AK10" i="1"/>
  <c r="AL10" i="1"/>
  <c r="AM10" i="1"/>
  <c r="AN10" i="1"/>
  <c r="AO10" i="1"/>
  <c r="AP10" i="1"/>
  <c r="AQ10" i="1"/>
  <c r="AR10" i="1"/>
  <c r="AS10" i="1"/>
  <c r="AT10" i="1"/>
  <c r="AU10" i="1"/>
  <c r="AV10" i="1"/>
  <c r="AW10" i="1"/>
  <c r="C5" i="2" l="1"/>
  <c r="C4" i="2"/>
  <c r="F20" i="5" l="1"/>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16" i="5"/>
  <c r="F17" i="5"/>
  <c r="F18" i="5"/>
  <c r="F19" i="5"/>
  <c r="F15" i="5"/>
  <c r="F12" i="5"/>
  <c r="I12" i="1" l="1"/>
  <c r="I16" i="1"/>
  <c r="I17" i="1"/>
  <c r="I18" i="1"/>
  <c r="I19" i="1"/>
  <c r="I20" i="1"/>
  <c r="I21" i="1"/>
  <c r="H16" i="1"/>
  <c r="H17" i="1"/>
  <c r="H18" i="1"/>
  <c r="H19" i="1"/>
  <c r="H20" i="1"/>
  <c r="H21" i="1"/>
  <c r="H12" i="1"/>
  <c r="H13" i="1"/>
  <c r="I13" i="1"/>
  <c r="H14" i="1"/>
  <c r="I14" i="1"/>
  <c r="H15" i="1"/>
  <c r="I15" i="1"/>
  <c r="D55" i="5" l="1"/>
  <c r="E55" i="5"/>
  <c r="D56" i="5"/>
  <c r="E56" i="5"/>
  <c r="D57" i="5"/>
  <c r="E57" i="5"/>
  <c r="D58" i="5"/>
  <c r="E58" i="5"/>
  <c r="D59" i="5"/>
  <c r="E59" i="5"/>
  <c r="D60" i="5"/>
  <c r="E60" i="5"/>
  <c r="D61" i="5"/>
  <c r="E61" i="5"/>
  <c r="D62" i="5"/>
  <c r="E62" i="5"/>
  <c r="D63" i="5"/>
  <c r="E63" i="5"/>
  <c r="D64" i="5"/>
  <c r="E64" i="5"/>
  <c r="D12" i="2" l="1"/>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16" i="5"/>
  <c r="E17" i="5"/>
  <c r="E18" i="5"/>
  <c r="E19" i="5"/>
  <c r="E20" i="5"/>
  <c r="E21" i="5"/>
  <c r="E22" i="5"/>
  <c r="E15" i="5"/>
  <c r="E12"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15" i="5"/>
  <c r="D12" i="5"/>
  <c r="A5" i="5"/>
  <c r="D17" i="2" l="1"/>
  <c r="C17" i="2"/>
  <c r="D16" i="2"/>
  <c r="C16" i="2"/>
  <c r="D15" i="2"/>
  <c r="C15" i="2"/>
  <c r="C14" i="2"/>
  <c r="D13" i="2"/>
  <c r="C13" i="2"/>
  <c r="C12" i="2"/>
  <c r="D11" i="2"/>
  <c r="C11" i="2"/>
  <c r="D10" i="2"/>
  <c r="C10" i="2"/>
  <c r="S21" i="1"/>
  <c r="R21" i="1"/>
  <c r="Q21" i="1"/>
  <c r="P21" i="1"/>
  <c r="O21" i="1"/>
  <c r="N21" i="1"/>
  <c r="M21" i="1"/>
  <c r="L21" i="1"/>
  <c r="S20" i="1"/>
  <c r="R20" i="1"/>
  <c r="Q20" i="1"/>
  <c r="P20" i="1"/>
  <c r="O20" i="1"/>
  <c r="N20" i="1"/>
  <c r="M20" i="1"/>
  <c r="L20" i="1"/>
  <c r="S19" i="1"/>
  <c r="R19" i="1"/>
  <c r="Q19" i="1"/>
  <c r="P19" i="1"/>
  <c r="O19" i="1"/>
  <c r="N19" i="1"/>
  <c r="M19" i="1"/>
  <c r="L19" i="1"/>
  <c r="S18" i="1"/>
  <c r="R18" i="1"/>
  <c r="Q18" i="1"/>
  <c r="P18" i="1"/>
  <c r="O18" i="1"/>
  <c r="N18" i="1"/>
  <c r="M18" i="1"/>
  <c r="L18" i="1"/>
  <c r="S17" i="1"/>
  <c r="R17" i="1"/>
  <c r="Q17" i="1"/>
  <c r="P17" i="1"/>
  <c r="O17" i="1"/>
  <c r="N17" i="1"/>
  <c r="M17" i="1"/>
  <c r="L17" i="1"/>
  <c r="S16" i="1"/>
  <c r="R16" i="1"/>
  <c r="Q16" i="1"/>
  <c r="P16" i="1"/>
  <c r="O16" i="1"/>
  <c r="N16" i="1"/>
  <c r="M16" i="1"/>
  <c r="L16" i="1"/>
  <c r="S15" i="1"/>
  <c r="R15" i="1"/>
  <c r="Q15" i="1"/>
  <c r="P15" i="1"/>
  <c r="O15" i="1"/>
  <c r="N15" i="1"/>
  <c r="M15" i="1"/>
  <c r="L15" i="1"/>
  <c r="S14" i="1"/>
  <c r="R14" i="1"/>
  <c r="Q14" i="1"/>
  <c r="P14" i="1"/>
  <c r="O14" i="1"/>
  <c r="N14" i="1"/>
  <c r="M14" i="1"/>
  <c r="L14" i="1"/>
  <c r="S13" i="1"/>
  <c r="R13" i="1"/>
  <c r="Q13" i="1"/>
  <c r="P13" i="1"/>
  <c r="O13" i="1"/>
  <c r="N13" i="1"/>
  <c r="M13" i="1"/>
  <c r="L13" i="1"/>
  <c r="S12" i="1"/>
  <c r="R12" i="1"/>
  <c r="Q12" i="1"/>
  <c r="P12" i="1"/>
  <c r="O12" i="1"/>
  <c r="N12" i="1"/>
  <c r="M12" i="1"/>
  <c r="L12" i="1"/>
  <c r="K20" i="1" l="1"/>
  <c r="O6" i="1"/>
  <c r="O7" i="1"/>
  <c r="O8" i="1"/>
  <c r="O9" i="1"/>
  <c r="O10" i="1"/>
  <c r="S6" i="1"/>
  <c r="S7" i="1"/>
  <c r="S8" i="1"/>
  <c r="S9" i="1"/>
  <c r="S10" i="1"/>
  <c r="P6" i="1"/>
  <c r="P7" i="1"/>
  <c r="P8" i="1"/>
  <c r="P9" i="1"/>
  <c r="P10" i="1"/>
  <c r="Q6" i="1"/>
  <c r="Q7" i="1"/>
  <c r="Q8" i="1"/>
  <c r="Q9" i="1"/>
  <c r="Q10" i="1"/>
  <c r="N6" i="1"/>
  <c r="N7" i="1"/>
  <c r="N8" i="1"/>
  <c r="N9" i="1"/>
  <c r="N10" i="1"/>
  <c r="R6" i="1"/>
  <c r="R7" i="1"/>
  <c r="R8" i="1"/>
  <c r="R9" i="1"/>
  <c r="R10" i="1"/>
  <c r="K21" i="1"/>
  <c r="K12" i="1"/>
  <c r="K15" i="1"/>
  <c r="K16" i="1"/>
  <c r="K17" i="1"/>
  <c r="K18" i="1"/>
  <c r="K19" i="1"/>
  <c r="K13" i="1"/>
  <c r="K14" i="1"/>
  <c r="K7" i="1" l="1"/>
  <c r="K8" i="1"/>
  <c r="K9" i="1"/>
  <c r="K10" i="1"/>
  <c r="K6" i="1"/>
</calcChain>
</file>

<file path=xl/sharedStrings.xml><?xml version="1.0" encoding="utf-8"?>
<sst xmlns="http://schemas.openxmlformats.org/spreadsheetml/2006/main" count="567" uniqueCount="492">
  <si>
    <t>Assessment Type</t>
  </si>
  <si>
    <t>Homework</t>
  </si>
  <si>
    <t>Classwork</t>
  </si>
  <si>
    <t>Points</t>
  </si>
  <si>
    <t>Weight</t>
  </si>
  <si>
    <t>Class</t>
  </si>
  <si>
    <t>Name</t>
  </si>
  <si>
    <t>Race</t>
  </si>
  <si>
    <t>Gender</t>
  </si>
  <si>
    <t>Age</t>
  </si>
  <si>
    <t>Repeated Grades</t>
  </si>
  <si>
    <t>Financial Status</t>
  </si>
  <si>
    <t>Absences</t>
  </si>
  <si>
    <t>Make your own categories</t>
  </si>
  <si>
    <t>Total Points</t>
  </si>
  <si>
    <t>Total Possible Points</t>
  </si>
  <si>
    <t>Test</t>
  </si>
  <si>
    <t>Projects</t>
  </si>
  <si>
    <t>Midterm</t>
  </si>
  <si>
    <t>Create / rename your own categories!</t>
  </si>
  <si>
    <t>Homework 1</t>
  </si>
  <si>
    <t>Classwork 1</t>
  </si>
  <si>
    <t>Homework 2</t>
  </si>
  <si>
    <t>Assessment 0</t>
  </si>
  <si>
    <t>Assessment 1</t>
  </si>
  <si>
    <t>Assessment 2</t>
  </si>
  <si>
    <t>Assessment 3</t>
  </si>
  <si>
    <t>Assessment 4</t>
  </si>
  <si>
    <t>Assessment 5</t>
  </si>
  <si>
    <t>Assessment 6</t>
  </si>
  <si>
    <t>Assessment 7</t>
  </si>
  <si>
    <t>Assessment 8</t>
  </si>
  <si>
    <t>Assessment 9</t>
  </si>
  <si>
    <t>Assessment 10</t>
  </si>
  <si>
    <t>Assessment 11</t>
  </si>
  <si>
    <t>Assessment 12</t>
  </si>
  <si>
    <t>Assessment 13</t>
  </si>
  <si>
    <t>Assessment 14</t>
  </si>
  <si>
    <t>Assessment 15</t>
  </si>
  <si>
    <t>Assessment 16</t>
  </si>
  <si>
    <t>Assessment 17</t>
  </si>
  <si>
    <t>Assessment 18</t>
  </si>
  <si>
    <t>Assessment 19</t>
  </si>
  <si>
    <t>Assessment 20</t>
  </si>
  <si>
    <t>Assessment 21</t>
  </si>
  <si>
    <t>Assessment 22</t>
  </si>
  <si>
    <t>Assessment 23</t>
  </si>
  <si>
    <t>Assessment 24</t>
  </si>
  <si>
    <t>Assessment 25</t>
  </si>
  <si>
    <t>Student 1</t>
  </si>
  <si>
    <t>Student 2</t>
  </si>
  <si>
    <t>Student 3</t>
  </si>
  <si>
    <t>Excused</t>
  </si>
  <si>
    <t>Student 4</t>
  </si>
  <si>
    <t>Student 5</t>
  </si>
  <si>
    <t>Student 6</t>
  </si>
  <si>
    <t>Student 7</t>
  </si>
  <si>
    <t>Student 8</t>
  </si>
  <si>
    <t>Student 9</t>
  </si>
  <si>
    <t>Student 10</t>
  </si>
  <si>
    <t>Options and Things to Try</t>
  </si>
  <si>
    <t>For Coloring:</t>
  </si>
  <si>
    <t>Color Table</t>
  </si>
  <si>
    <t>Yes</t>
  </si>
  <si>
    <t>Grade Goal</t>
  </si>
  <si>
    <t>Things to Try:</t>
  </si>
  <si>
    <t>Set up autosave</t>
  </si>
  <si>
    <t>No</t>
  </si>
  <si>
    <t>Add a total row</t>
  </si>
  <si>
    <t>Add demographics</t>
  </si>
  <si>
    <t>Filter and sort</t>
  </si>
  <si>
    <t>Make Helper Colns</t>
  </si>
  <si>
    <t>Give Extra Credit</t>
  </si>
  <si>
    <t>Track Absences</t>
  </si>
  <si>
    <t>Change color scheme</t>
  </si>
  <si>
    <t>About</t>
  </si>
  <si>
    <t>Version</t>
  </si>
  <si>
    <t>http://web.mit.edu/jabbott/www/excelgradetracker.html</t>
  </si>
  <si>
    <t>Author</t>
  </si>
  <si>
    <t>Jonathan Abbott</t>
  </si>
  <si>
    <t>Was this helpful?</t>
  </si>
  <si>
    <t>I much appreciate feedback, concerns, and questions</t>
  </si>
  <si>
    <t>Color Grades 85% or higher green, else yellow</t>
  </si>
  <si>
    <t>Use colors inside the table using the following settings:</t>
  </si>
  <si>
    <t>Row Labels</t>
  </si>
  <si>
    <t>Grand Total</t>
  </si>
  <si>
    <t>70-80</t>
  </si>
  <si>
    <t>90-100</t>
  </si>
  <si>
    <t>60-70</t>
  </si>
  <si>
    <t>80-90</t>
  </si>
  <si>
    <t>&lt;60</t>
  </si>
  <si>
    <t xml:space="preserve"> Homework 1</t>
  </si>
  <si>
    <t xml:space="preserve"> Classwork 1</t>
  </si>
  <si>
    <t>None</t>
  </si>
  <si>
    <t>Grade Report</t>
  </si>
  <si>
    <t>[Your School]</t>
  </si>
  <si>
    <t>Teacher: [Your name]</t>
  </si>
  <si>
    <t>Class: [Your Class]</t>
  </si>
  <si>
    <t>Comments:</t>
  </si>
  <si>
    <t>Parent Signature:</t>
  </si>
  <si>
    <t>Max Points</t>
  </si>
  <si>
    <t>Score</t>
  </si>
  <si>
    <t/>
  </si>
  <si>
    <t xml:space="preserve"> Homework 2</t>
  </si>
  <si>
    <t>a</t>
  </si>
  <si>
    <t>24-Aug</t>
  </si>
  <si>
    <t>23-Aug</t>
  </si>
  <si>
    <t>22-Aug</t>
  </si>
  <si>
    <t>21-Aug</t>
  </si>
  <si>
    <t>20-Aug</t>
  </si>
  <si>
    <t>19-Aug</t>
  </si>
  <si>
    <t>18-Aug</t>
  </si>
  <si>
    <t>17-Aug</t>
  </si>
  <si>
    <t>16-Aug</t>
  </si>
  <si>
    <t>15-Aug</t>
  </si>
  <si>
    <t>14-Aug</t>
  </si>
  <si>
    <t>13-Aug</t>
  </si>
  <si>
    <t>12-Aug</t>
  </si>
  <si>
    <t>11-Aug</t>
  </si>
  <si>
    <t>10-Aug</t>
  </si>
  <si>
    <t>9-Aug</t>
  </si>
  <si>
    <t>8-Aug</t>
  </si>
  <si>
    <t>7-Aug</t>
  </si>
  <si>
    <t>6-Aug</t>
  </si>
  <si>
    <t>5-Aug</t>
  </si>
  <si>
    <t>4-Aug</t>
  </si>
  <si>
    <t>3-Aug</t>
  </si>
  <si>
    <t>2-Aug</t>
  </si>
  <si>
    <t>1-Aug</t>
  </si>
  <si>
    <t>31-Jul</t>
  </si>
  <si>
    <t>30-Jul</t>
  </si>
  <si>
    <t>29-Jul</t>
  </si>
  <si>
    <t>28-Jul</t>
  </si>
  <si>
    <t>27-Jul</t>
  </si>
  <si>
    <t>26-Jul</t>
  </si>
  <si>
    <t>25-Jul</t>
  </si>
  <si>
    <t>24-Jul</t>
  </si>
  <si>
    <t>23-Jul</t>
  </si>
  <si>
    <t>22-Jul</t>
  </si>
  <si>
    <t>21-Jul</t>
  </si>
  <si>
    <t>20-Jul</t>
  </si>
  <si>
    <t>19-Jul</t>
  </si>
  <si>
    <t>18-Jul</t>
  </si>
  <si>
    <t>17-Jul</t>
  </si>
  <si>
    <t>16-Jul</t>
  </si>
  <si>
    <t>15-Jul</t>
  </si>
  <si>
    <t>14-Jul</t>
  </si>
  <si>
    <t>13-Jul</t>
  </si>
  <si>
    <t>12-Jul</t>
  </si>
  <si>
    <t>11-Jul</t>
  </si>
  <si>
    <t>10-Jul</t>
  </si>
  <si>
    <t>9-Jul</t>
  </si>
  <si>
    <t>8-Jul</t>
  </si>
  <si>
    <t>7-Jul</t>
  </si>
  <si>
    <t>6-Jul</t>
  </si>
  <si>
    <t>5-Jul</t>
  </si>
  <si>
    <t>4-Jul</t>
  </si>
  <si>
    <t>3-Jul</t>
  </si>
  <si>
    <t>2-Jul</t>
  </si>
  <si>
    <t>1-Jul</t>
  </si>
  <si>
    <t>30-Jun</t>
  </si>
  <si>
    <t>29-Jun</t>
  </si>
  <si>
    <t>28-Jun</t>
  </si>
  <si>
    <t>27-Jun</t>
  </si>
  <si>
    <t>26-Jun</t>
  </si>
  <si>
    <t>25-Jun</t>
  </si>
  <si>
    <t>24-Jun</t>
  </si>
  <si>
    <t>23-Jun</t>
  </si>
  <si>
    <t>22-Jun</t>
  </si>
  <si>
    <t>21-Jun</t>
  </si>
  <si>
    <t>20-Jun</t>
  </si>
  <si>
    <t>19-Jun</t>
  </si>
  <si>
    <t>18-Jun</t>
  </si>
  <si>
    <t>17-Jun</t>
  </si>
  <si>
    <t>16-Jun</t>
  </si>
  <si>
    <t>15-Jun</t>
  </si>
  <si>
    <t>14-Jun</t>
  </si>
  <si>
    <t>13-Jun</t>
  </si>
  <si>
    <t>12-Jun</t>
  </si>
  <si>
    <t>11-Jun</t>
  </si>
  <si>
    <t>10-Jun</t>
  </si>
  <si>
    <t>9-Jun</t>
  </si>
  <si>
    <t>8-Jun</t>
  </si>
  <si>
    <t>7-Jun</t>
  </si>
  <si>
    <t>6-Jun</t>
  </si>
  <si>
    <t>5-Jun</t>
  </si>
  <si>
    <t>4-Jun</t>
  </si>
  <si>
    <t>3-Jun</t>
  </si>
  <si>
    <t>2-Jun</t>
  </si>
  <si>
    <t>1-Jun</t>
  </si>
  <si>
    <t>31-May</t>
  </si>
  <si>
    <t>30-May</t>
  </si>
  <si>
    <t>29-May</t>
  </si>
  <si>
    <t>28-May</t>
  </si>
  <si>
    <t>27-May</t>
  </si>
  <si>
    <t>26-May</t>
  </si>
  <si>
    <t>25-May</t>
  </si>
  <si>
    <t>24-May</t>
  </si>
  <si>
    <t>23-May</t>
  </si>
  <si>
    <t>22-May</t>
  </si>
  <si>
    <t>21-May</t>
  </si>
  <si>
    <t>20-May</t>
  </si>
  <si>
    <t>19-May</t>
  </si>
  <si>
    <t>18-May</t>
  </si>
  <si>
    <t>17-May</t>
  </si>
  <si>
    <t>16-May</t>
  </si>
  <si>
    <t>15-May</t>
  </si>
  <si>
    <t>14-May</t>
  </si>
  <si>
    <t>13-May</t>
  </si>
  <si>
    <t>12-May</t>
  </si>
  <si>
    <t>11-May</t>
  </si>
  <si>
    <t>10-May</t>
  </si>
  <si>
    <t>9-May</t>
  </si>
  <si>
    <t>8-May</t>
  </si>
  <si>
    <t>7-May</t>
  </si>
  <si>
    <t>6-May</t>
  </si>
  <si>
    <t>5-May</t>
  </si>
  <si>
    <t>4-May</t>
  </si>
  <si>
    <t>3-May</t>
  </si>
  <si>
    <t>2-May</t>
  </si>
  <si>
    <t>1-May</t>
  </si>
  <si>
    <t>30-Apr</t>
  </si>
  <si>
    <t>29-Apr</t>
  </si>
  <si>
    <t>28-Apr</t>
  </si>
  <si>
    <t>27-Apr</t>
  </si>
  <si>
    <t>26-Apr</t>
  </si>
  <si>
    <t>25-Apr</t>
  </si>
  <si>
    <t>24-Apr</t>
  </si>
  <si>
    <t>23-Apr</t>
  </si>
  <si>
    <t>22-Apr</t>
  </si>
  <si>
    <t>21-Apr</t>
  </si>
  <si>
    <t>20-Apr</t>
  </si>
  <si>
    <t>19-Apr</t>
  </si>
  <si>
    <t>18-Apr</t>
  </si>
  <si>
    <t>17-Apr</t>
  </si>
  <si>
    <t>16-Apr</t>
  </si>
  <si>
    <t>15-Apr</t>
  </si>
  <si>
    <t>14-Apr</t>
  </si>
  <si>
    <t>13-Apr</t>
  </si>
  <si>
    <t>12-Apr</t>
  </si>
  <si>
    <t>11-Apr</t>
  </si>
  <si>
    <t>10-Apr</t>
  </si>
  <si>
    <t>9-Apr</t>
  </si>
  <si>
    <t>8-Apr</t>
  </si>
  <si>
    <t>7-Apr</t>
  </si>
  <si>
    <t>6-Apr</t>
  </si>
  <si>
    <t>5-Apr</t>
  </si>
  <si>
    <t>4-Apr</t>
  </si>
  <si>
    <t>3-Apr</t>
  </si>
  <si>
    <t>2-Apr</t>
  </si>
  <si>
    <t>1-Apr</t>
  </si>
  <si>
    <t>31-Mar</t>
  </si>
  <si>
    <t>30-Mar</t>
  </si>
  <si>
    <t>29-Mar</t>
  </si>
  <si>
    <t>28-Mar</t>
  </si>
  <si>
    <t>27-Mar</t>
  </si>
  <si>
    <t>26-Mar</t>
  </si>
  <si>
    <t>25-Mar</t>
  </si>
  <si>
    <t>24-Mar</t>
  </si>
  <si>
    <t>23-Mar</t>
  </si>
  <si>
    <t>22-Mar</t>
  </si>
  <si>
    <t>21-Mar</t>
  </si>
  <si>
    <t>20-Mar</t>
  </si>
  <si>
    <t>19-Mar</t>
  </si>
  <si>
    <t>18-Mar</t>
  </si>
  <si>
    <t>17-Mar</t>
  </si>
  <si>
    <t>16-Mar</t>
  </si>
  <si>
    <t>15-Mar</t>
  </si>
  <si>
    <t>14-Mar</t>
  </si>
  <si>
    <t>13-Mar</t>
  </si>
  <si>
    <t>12-Mar</t>
  </si>
  <si>
    <t>11-Mar</t>
  </si>
  <si>
    <t>10-Mar</t>
  </si>
  <si>
    <t>9-Mar</t>
  </si>
  <si>
    <t>8-Mar</t>
  </si>
  <si>
    <t>7-Mar</t>
  </si>
  <si>
    <t>6-Mar</t>
  </si>
  <si>
    <t>5-Mar</t>
  </si>
  <si>
    <t>4-Mar</t>
  </si>
  <si>
    <t>3-Mar</t>
  </si>
  <si>
    <t>2-Mar</t>
  </si>
  <si>
    <t>1-Mar</t>
  </si>
  <si>
    <t>28-Feb</t>
  </si>
  <si>
    <t>27-Feb</t>
  </si>
  <si>
    <t>26-Feb</t>
  </si>
  <si>
    <t>25-Feb</t>
  </si>
  <si>
    <t>24-Feb</t>
  </si>
  <si>
    <t>23-Feb</t>
  </si>
  <si>
    <t>22-Feb</t>
  </si>
  <si>
    <t>21-Feb</t>
  </si>
  <si>
    <t>20-Feb</t>
  </si>
  <si>
    <t>19-Feb</t>
  </si>
  <si>
    <t>18-Feb</t>
  </si>
  <si>
    <t>17-Feb</t>
  </si>
  <si>
    <t>16-Feb</t>
  </si>
  <si>
    <t>15-Feb</t>
  </si>
  <si>
    <t>14-Feb</t>
  </si>
  <si>
    <t>13-Feb</t>
  </si>
  <si>
    <t>12-Feb</t>
  </si>
  <si>
    <t>11-Feb</t>
  </si>
  <si>
    <t>10-Feb</t>
  </si>
  <si>
    <t>9-Feb</t>
  </si>
  <si>
    <t>8-Feb</t>
  </si>
  <si>
    <t>7-Feb</t>
  </si>
  <si>
    <t>6-Feb</t>
  </si>
  <si>
    <t>5-Feb</t>
  </si>
  <si>
    <t>4-Feb</t>
  </si>
  <si>
    <t>3-Feb</t>
  </si>
  <si>
    <t>2-Feb</t>
  </si>
  <si>
    <t>1-Feb</t>
  </si>
  <si>
    <t>31-Jan</t>
  </si>
  <si>
    <t>30-Jan</t>
  </si>
  <si>
    <t>29-Jan</t>
  </si>
  <si>
    <t>28-Jan</t>
  </si>
  <si>
    <t>27-Jan</t>
  </si>
  <si>
    <t>26-Jan</t>
  </si>
  <si>
    <t>25-Jan</t>
  </si>
  <si>
    <t>24-Jan</t>
  </si>
  <si>
    <t>23-Jan</t>
  </si>
  <si>
    <t>22-Jan</t>
  </si>
  <si>
    <t>21-Jan</t>
  </si>
  <si>
    <t>20-Jan</t>
  </si>
  <si>
    <t>19-Jan</t>
  </si>
  <si>
    <t>18-Jan</t>
  </si>
  <si>
    <t>17-Jan</t>
  </si>
  <si>
    <t>16-Jan</t>
  </si>
  <si>
    <t>15-Jan</t>
  </si>
  <si>
    <t>14-Jan</t>
  </si>
  <si>
    <t>13-Jan</t>
  </si>
  <si>
    <t>12-Jan</t>
  </si>
  <si>
    <t>11-Jan</t>
  </si>
  <si>
    <t>10-Jan</t>
  </si>
  <si>
    <t>9-Jan</t>
  </si>
  <si>
    <t>8-Jan</t>
  </si>
  <si>
    <t>7-Jan</t>
  </si>
  <si>
    <t>6-Jan</t>
  </si>
  <si>
    <t>5-Jan</t>
  </si>
  <si>
    <t>4-Jan</t>
  </si>
  <si>
    <t>3-Jan</t>
  </si>
  <si>
    <t>2-Jan</t>
  </si>
  <si>
    <t>1-Jan</t>
  </si>
  <si>
    <t>31-Dec</t>
  </si>
  <si>
    <t>30-Dec</t>
  </si>
  <si>
    <t>29-Dec</t>
  </si>
  <si>
    <t>28-Dec</t>
  </si>
  <si>
    <t>27-Dec</t>
  </si>
  <si>
    <t>26-Dec</t>
  </si>
  <si>
    <t>25-Dec</t>
  </si>
  <si>
    <t>24-Dec</t>
  </si>
  <si>
    <t>23-Dec</t>
  </si>
  <si>
    <t>22-Dec</t>
  </si>
  <si>
    <t>21-Dec</t>
  </si>
  <si>
    <t>20-Dec</t>
  </si>
  <si>
    <t>19-Dec</t>
  </si>
  <si>
    <t>18-Dec</t>
  </si>
  <si>
    <t>17-Dec</t>
  </si>
  <si>
    <t>16-Dec</t>
  </si>
  <si>
    <t>15-Dec</t>
  </si>
  <si>
    <t>14-Dec</t>
  </si>
  <si>
    <t>13-Dec</t>
  </si>
  <si>
    <t>12-Dec</t>
  </si>
  <si>
    <t>11-Dec</t>
  </si>
  <si>
    <t>10-Dec</t>
  </si>
  <si>
    <t>9-Dec</t>
  </si>
  <si>
    <t>8-Dec</t>
  </si>
  <si>
    <t>7-Dec</t>
  </si>
  <si>
    <t>6-Dec</t>
  </si>
  <si>
    <t>5-Dec</t>
  </si>
  <si>
    <t>4-Dec</t>
  </si>
  <si>
    <t>3-Dec</t>
  </si>
  <si>
    <t>2-Dec</t>
  </si>
  <si>
    <t>1-Dec</t>
  </si>
  <si>
    <t>30-Nov</t>
  </si>
  <si>
    <t>29-Nov</t>
  </si>
  <si>
    <t>28-Nov</t>
  </si>
  <si>
    <t>27-Nov</t>
  </si>
  <si>
    <t>26-Nov</t>
  </si>
  <si>
    <t>25-Nov</t>
  </si>
  <si>
    <t>24-Nov</t>
  </si>
  <si>
    <t>23-Nov</t>
  </si>
  <si>
    <t>22-Nov</t>
  </si>
  <si>
    <t>21-Nov</t>
  </si>
  <si>
    <t>20-Nov</t>
  </si>
  <si>
    <t>19-Nov</t>
  </si>
  <si>
    <t>18-Nov</t>
  </si>
  <si>
    <t>17-Nov</t>
  </si>
  <si>
    <t>16-Nov</t>
  </si>
  <si>
    <t>15-Nov</t>
  </si>
  <si>
    <t>14-Nov</t>
  </si>
  <si>
    <t>13-Nov</t>
  </si>
  <si>
    <t>12-Nov</t>
  </si>
  <si>
    <t>11-Nov</t>
  </si>
  <si>
    <t>10-Nov</t>
  </si>
  <si>
    <t>9-Nov</t>
  </si>
  <si>
    <t>8-Nov</t>
  </si>
  <si>
    <t>7-Nov</t>
  </si>
  <si>
    <t>6-Nov</t>
  </si>
  <si>
    <t>5-Nov</t>
  </si>
  <si>
    <t>4-Nov</t>
  </si>
  <si>
    <t>3-Nov</t>
  </si>
  <si>
    <t>2-Nov</t>
  </si>
  <si>
    <t>1-Nov</t>
  </si>
  <si>
    <t>31-Oct</t>
  </si>
  <si>
    <t>30-Oct</t>
  </si>
  <si>
    <t>29-Oct</t>
  </si>
  <si>
    <t>28-Oct</t>
  </si>
  <si>
    <t>27-Oct</t>
  </si>
  <si>
    <t>26-Oct</t>
  </si>
  <si>
    <t>25-Oct</t>
  </si>
  <si>
    <t>24-Oct</t>
  </si>
  <si>
    <t>23-Oct</t>
  </si>
  <si>
    <t>22-Oct</t>
  </si>
  <si>
    <t>21-Oct</t>
  </si>
  <si>
    <t>20-Oct</t>
  </si>
  <si>
    <t>19-Oct</t>
  </si>
  <si>
    <t>18-Oct</t>
  </si>
  <si>
    <t>17-Oct</t>
  </si>
  <si>
    <t>16-Oct</t>
  </si>
  <si>
    <t>15-Oct</t>
  </si>
  <si>
    <t>14-Oct</t>
  </si>
  <si>
    <t>13-Oct</t>
  </si>
  <si>
    <t>12-Oct</t>
  </si>
  <si>
    <t>11-Oct</t>
  </si>
  <si>
    <t>10-Oct</t>
  </si>
  <si>
    <t>9-Oct</t>
  </si>
  <si>
    <t>8-Oct</t>
  </si>
  <si>
    <t>7-Oct</t>
  </si>
  <si>
    <t>6-Oct</t>
  </si>
  <si>
    <t>5-Oct</t>
  </si>
  <si>
    <t>4-Oct</t>
  </si>
  <si>
    <t>3-Oct</t>
  </si>
  <si>
    <t>2-Oct</t>
  </si>
  <si>
    <t>1-Oct</t>
  </si>
  <si>
    <t>30-Sep</t>
  </si>
  <si>
    <t>29-Sep</t>
  </si>
  <si>
    <t>28-Sep</t>
  </si>
  <si>
    <t>27-Sep</t>
  </si>
  <si>
    <t>26-Sep</t>
  </si>
  <si>
    <t>25-Sep</t>
  </si>
  <si>
    <t>24-Sep</t>
  </si>
  <si>
    <t>23-Sep</t>
  </si>
  <si>
    <t>22-Sep</t>
  </si>
  <si>
    <t>21-Sep</t>
  </si>
  <si>
    <t>20-Sep</t>
  </si>
  <si>
    <t>19-Sep</t>
  </si>
  <si>
    <t>18-Sep</t>
  </si>
  <si>
    <t>17-Sep</t>
  </si>
  <si>
    <t>16-Sep</t>
  </si>
  <si>
    <t>15-Sep</t>
  </si>
  <si>
    <t>14-Sep</t>
  </si>
  <si>
    <t>13-Sep</t>
  </si>
  <si>
    <t>12-Sep</t>
  </si>
  <si>
    <t>11-Sep</t>
  </si>
  <si>
    <t>10-Sep</t>
  </si>
  <si>
    <t>9-Sep</t>
  </si>
  <si>
    <t>8-Sep</t>
  </si>
  <si>
    <t>7-Sep</t>
  </si>
  <si>
    <t>6-Sep</t>
  </si>
  <si>
    <t>5-Sep</t>
  </si>
  <si>
    <t>4-Sep</t>
  </si>
  <si>
    <t>3-Sep</t>
  </si>
  <si>
    <t>2-Sep</t>
  </si>
  <si>
    <t>1-Sep</t>
  </si>
  <si>
    <t>31-Aug</t>
  </si>
  <si>
    <t>30-Aug</t>
  </si>
  <si>
    <t>29-Aug</t>
  </si>
  <si>
    <t>28-Aug</t>
  </si>
  <si>
    <t>27-Aug</t>
  </si>
  <si>
    <t>26-Aug</t>
  </si>
  <si>
    <t>25-Aug</t>
  </si>
  <si>
    <t>Student</t>
  </si>
  <si>
    <t>Date</t>
  </si>
  <si>
    <t>Assessment | Insert new columns before here</t>
  </si>
  <si>
    <t>The little graphs</t>
  </si>
  <si>
    <t>Show more screen</t>
  </si>
  <si>
    <t>A:</t>
  </si>
  <si>
    <t>B:</t>
  </si>
  <si>
    <t>C:</t>
  </si>
  <si>
    <t>D:</t>
  </si>
  <si>
    <t>F:</t>
  </si>
  <si>
    <t>Absent</t>
  </si>
  <si>
    <t>Late</t>
  </si>
  <si>
    <t>Running Average</t>
  </si>
  <si>
    <t>Count of Running Average</t>
  </si>
  <si>
    <t>Average of Running Average</t>
  </si>
  <si>
    <t xml:space="preserve"> Running Average</t>
  </si>
  <si>
    <t>Lates</t>
  </si>
  <si>
    <t>l</t>
  </si>
  <si>
    <t>Can be contacted at jabbott.mit@gmail.com</t>
  </si>
  <si>
    <t>Website (till July '14)</t>
  </si>
  <si>
    <t xml:space="preserve"> _1.2.5c_ </t>
  </si>
  <si>
    <t>This simple version for Excel 2010+ calculates a grade based on points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</si>
</sst>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m/d;@"/>
    <numFmt numFmtId="166" formatCode="[$-409]d\-mmm;@"/>
    <numFmt numFmtId="167" formatCode=";;;"/>
  </numFmts>
  <fonts count="15" x14ac:knownFonts="1">
    <font>
      <sz val="11"/>
      <color theme="1"/>
      <name val="Calibri"/>
      <family val="2"/>
      <scheme val="minor"/>
    </font>
    <font>
      <sz val="11"/>
      <color theme="1"/>
      <name val="Calibri"/>
      <family val="2"/>
      <scheme val="minor"/>
    </font>
    <font>
      <i/>
      <sz val="11"/>
      <color rgb="FF7F7F7F"/>
      <name val="Calibri"/>
      <family val="2"/>
      <scheme val="minor"/>
    </font>
    <font>
      <sz val="11"/>
      <color theme="1"/>
      <name val="Arial"/>
      <family val="2"/>
    </font>
    <font>
      <sz val="11"/>
      <color theme="0" tint="-0.499984740745262"/>
      <name val="Arial"/>
      <family val="2"/>
    </font>
    <font>
      <sz val="11"/>
      <name val="Arial"/>
      <family val="2"/>
    </font>
    <font>
      <sz val="11"/>
      <color theme="1" tint="0.249977111117893"/>
      <name val="Arial"/>
      <family val="2"/>
    </font>
    <font>
      <i/>
      <sz val="18"/>
      <color theme="1"/>
      <name val="Calibri"/>
      <family val="2"/>
      <scheme val="minor"/>
    </font>
    <font>
      <b/>
      <i/>
      <sz val="11"/>
      <color theme="1" tint="4.9989318521683403E-2"/>
      <name val="Calibri"/>
      <family val="2"/>
      <scheme val="minor"/>
    </font>
    <font>
      <sz val="11"/>
      <color theme="1" tint="0.249977111117893"/>
      <name val="Calibri"/>
      <family val="2"/>
      <scheme val="minor"/>
    </font>
    <font>
      <b/>
      <i/>
      <sz val="11"/>
      <color theme="1"/>
      <name val="Calibri"/>
      <family val="2"/>
      <scheme val="minor"/>
    </font>
    <font>
      <u/>
      <sz val="11"/>
      <color theme="10"/>
      <name val="Calibri"/>
      <family val="2"/>
      <scheme val="minor"/>
    </font>
    <font>
      <b/>
      <sz val="15"/>
      <color theme="3"/>
      <name val="Calibri"/>
      <family val="2"/>
      <scheme val="minor"/>
    </font>
    <font>
      <b/>
      <sz val="15"/>
      <name val="Calibri"/>
      <family val="2"/>
      <scheme val="minor"/>
    </font>
    <font>
      <sz val="14"/>
      <color theme="1"/>
      <name val="Calibri"/>
      <family val="2"/>
      <scheme val="minor"/>
    </font>
  </fonts>
  <fills count="22">
    <fill>
      <patternFill patternType="none"/>
    </fill>
    <fill>
      <patternFill patternType="gray125"/>
    </fill>
    <fill>
      <patternFill patternType="solid">
        <fgColor theme="4" tint="0.79998168889431442"/>
        <bgColor indexed="65"/>
      </patternFill>
    </fill>
    <fill>
      <gradientFill>
        <stop position="0">
          <color theme="2"/>
        </stop>
        <stop position="1">
          <color theme="2" tint="-9.8025452436902985E-2"/>
        </stop>
      </gradientFill>
    </fill>
    <fill>
      <gradientFill degree="180">
        <stop position="0">
          <color theme="2"/>
        </stop>
        <stop position="1">
          <color theme="2" tint="-9.8025452436902985E-2"/>
        </stop>
      </gradientFill>
    </fill>
    <fill>
      <patternFill patternType="solid">
        <fgColor theme="2"/>
        <bgColor indexed="64"/>
      </patternFill>
    </fill>
    <fill>
      <gradientFill>
        <stop position="0">
          <color theme="3" tint="0.80001220740379042"/>
        </stop>
        <stop position="1">
          <color theme="3" tint="0.59999389629810485"/>
        </stop>
      </gradientFill>
    </fill>
    <fill>
      <gradientFill degree="180">
        <stop position="0">
          <color theme="3" tint="0.80001220740379042"/>
        </stop>
        <stop position="1">
          <color theme="3" tint="0.59999389629810485"/>
        </stop>
      </gradientFill>
    </fill>
    <fill>
      <patternFill patternType="solid">
        <fgColor theme="3" tint="0.79998168889431442"/>
        <bgColor indexed="64"/>
      </patternFill>
    </fill>
    <fill>
      <gradientFill>
        <stop position="0">
          <color theme="0" tint="-5.0965910824915313E-2"/>
        </stop>
        <stop position="1">
          <color theme="0" tint="-0.1490218817712943"/>
        </stop>
      </gradientFill>
    </fill>
    <fill>
      <gradientFill degree="180">
        <stop position="0">
          <color theme="0" tint="-5.0965910824915313E-2"/>
        </stop>
        <stop position="1">
          <color theme="0" tint="-0.1490218817712943"/>
        </stop>
      </gradientFill>
    </fill>
    <fill>
      <patternFill patternType="solid">
        <fgColor theme="0" tint="-4.9989318521683403E-2"/>
        <bgColor indexed="64"/>
      </patternFill>
    </fill>
    <fill>
      <gradientFill>
        <stop position="0">
          <color theme="9" tint="0.80001220740379042"/>
        </stop>
        <stop position="1">
          <color theme="9" tint="0.59999389629810485"/>
        </stop>
      </gradientFill>
    </fill>
    <fill>
      <gradientFill degree="180">
        <stop position="0">
          <color theme="9" tint="0.80001220740379042"/>
        </stop>
        <stop position="1">
          <color theme="9" tint="0.59999389629810485"/>
        </stop>
      </gradientFill>
    </fill>
    <fill>
      <patternFill patternType="solid">
        <fgColor theme="7" tint="0.79998168889431442"/>
        <bgColor indexed="64"/>
      </patternFill>
    </fill>
    <fill>
      <patternFill patternType="solid">
        <fgColor theme="2" tint="-9.9978637043366805E-2"/>
        <bgColor indexed="64"/>
      </patternFill>
    </fill>
    <fill>
      <patternFill patternType="solid">
        <fgColor theme="0" tint="-0.14999847407452621"/>
        <bgColor indexed="64"/>
      </patternFill>
    </fill>
    <fill>
      <gradientFill>
        <stop position="0">
          <color theme="2" tint="-0.25098422193060094"/>
        </stop>
        <stop position="1">
          <color theme="2"/>
        </stop>
      </gradientFill>
    </fill>
    <fill>
      <patternFill patternType="darkUp"/>
    </fill>
    <fill>
      <patternFill patternType="solid">
        <fgColor theme="0"/>
        <bgColor auto="1"/>
      </patternFill>
    </fill>
    <fill>
      <patternFill patternType="solid">
        <fgColor theme="0" tint="-4.9989318521683403E-2"/>
        <bgColor auto="1"/>
      </patternFill>
    </fill>
    <fill>
      <patternFill patternType="solid">
        <fgColor theme="0"/>
        <bgColor indexed="64"/>
      </patternFill>
    </fill>
  </fills>
  <borders count="24">
    <border>
      <left/>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indexed="64"/>
      </left>
      <right style="thin">
        <color indexed="64"/>
      </right>
      <top style="thin">
        <color indexed="64"/>
      </top>
      <bottom/>
      <diagonal/>
    </border>
    <border>
      <left/>
      <right/>
      <top/>
      <bottom style="thick">
        <color theme="4"/>
      </bottom>
      <diagonal/>
    </border>
    <border>
      <left style="medium">
        <color indexed="64"/>
      </left>
      <right/>
      <top/>
      <bottom/>
      <diagonal/>
    </border>
    <border>
      <left style="medium">
        <color indexed="64"/>
      </left>
      <right style="medium">
        <color indexed="64"/>
      </right>
      <top/>
      <bottom/>
      <diagonal/>
    </border>
    <border>
      <left/>
      <right style="medium">
        <color auto="1"/>
      </right>
      <top/>
      <bottom/>
      <diagonal/>
    </border>
  </borders>
  <cellStyleXfs count="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1" fillId="2" borderId="0" applyNumberFormat="0" applyBorder="0" applyAlignment="0" applyProtection="0"/>
    <xf numFmtId="0" fontId="11" fillId="0" borderId="0" applyNumberFormat="0" applyFill="0" applyBorder="0" applyAlignment="0" applyProtection="0"/>
    <xf numFmtId="0" fontId="12" fillId="0" borderId="20" applyNumberFormat="0" applyFill="0" applyAlignment="0" applyProtection="0"/>
  </cellStyleXfs>
  <cellXfs count="121">
    <xf numFmtId="0" fontId="0" fillId="0" borderId="0" xfId="0"/>
    <xf numFmtId="0" fontId="3" fillId="3" borderId="0" xfId="0" applyFont="1" applyFill="1" applyBorder="1" applyAlignment="1" applyProtection="1">
      <alignment horizontal="center"/>
    </xf>
    <xf numFmtId="0" fontId="4" fillId="4" borderId="0" xfId="0" applyFont="1" applyFill="1" applyBorder="1" applyProtection="1"/>
    <xf numFmtId="0" fontId="3" fillId="5" borderId="0" xfId="0" applyFont="1" applyFill="1" applyBorder="1" applyProtection="1"/>
    <xf numFmtId="0" fontId="3" fillId="5" borderId="0" xfId="0" applyFont="1" applyFill="1" applyBorder="1" applyAlignment="1" applyProtection="1">
      <alignment horizontal="center"/>
    </xf>
    <xf numFmtId="0" fontId="3" fillId="5" borderId="1" xfId="0" applyFont="1" applyFill="1" applyBorder="1" applyAlignment="1" applyProtection="1">
      <alignment horizontal="center"/>
    </xf>
    <xf numFmtId="0" fontId="5" fillId="5" borderId="0" xfId="0" applyFont="1" applyFill="1" applyBorder="1" applyAlignment="1" applyProtection="1">
      <alignment horizontal="center"/>
    </xf>
    <xf numFmtId="0" fontId="3" fillId="0" borderId="0" xfId="0" applyFont="1" applyBorder="1" applyProtection="1"/>
    <xf numFmtId="0" fontId="3" fillId="6" borderId="0" xfId="0" applyFont="1" applyFill="1" applyBorder="1" applyAlignment="1" applyProtection="1">
      <alignment horizontal="center"/>
    </xf>
    <xf numFmtId="0" fontId="4" fillId="7" borderId="0" xfId="0" applyFont="1" applyFill="1" applyBorder="1" applyProtection="1"/>
    <xf numFmtId="0" fontId="3" fillId="8" borderId="0" xfId="0" applyFont="1" applyFill="1" applyBorder="1" applyProtection="1"/>
    <xf numFmtId="0" fontId="3" fillId="8" borderId="0" xfId="0" applyFont="1" applyFill="1" applyBorder="1" applyAlignment="1" applyProtection="1">
      <alignment horizontal="center" vertical="center"/>
    </xf>
    <xf numFmtId="9" fontId="3" fillId="6" borderId="0" xfId="1" applyFont="1" applyFill="1" applyBorder="1" applyProtection="1"/>
    <xf numFmtId="0" fontId="3" fillId="8" borderId="1" xfId="0" applyFont="1" applyFill="1" applyBorder="1" applyAlignment="1" applyProtection="1">
      <alignment horizontal="center" vertical="center"/>
    </xf>
    <xf numFmtId="9" fontId="6" fillId="8" borderId="0" xfId="1" applyFont="1" applyFill="1" applyBorder="1" applyAlignment="1" applyProtection="1">
      <alignment horizontal="center" vertical="center"/>
    </xf>
    <xf numFmtId="0" fontId="4" fillId="10" borderId="2" xfId="0" applyFont="1" applyFill="1" applyBorder="1" applyProtection="1"/>
    <xf numFmtId="0" fontId="3" fillId="12" borderId="4" xfId="0" applyNumberFormat="1" applyFont="1" applyFill="1" applyBorder="1" applyAlignment="1" applyProtection="1">
      <alignment horizontal="center" vertical="center"/>
    </xf>
    <xf numFmtId="0" fontId="3" fillId="13" borderId="4" xfId="0" applyNumberFormat="1" applyFont="1" applyFill="1" applyBorder="1" applyAlignment="1" applyProtection="1">
      <alignment horizontal="center" vertical="center"/>
    </xf>
    <xf numFmtId="0" fontId="3" fillId="14" borderId="4" xfId="0" applyNumberFormat="1" applyFont="1" applyFill="1" applyBorder="1" applyAlignment="1" applyProtection="1">
      <alignment horizontal="center" vertical="center" wrapText="1"/>
    </xf>
    <xf numFmtId="0" fontId="3" fillId="8" borderId="4" xfId="0" applyNumberFormat="1" applyFont="1" applyFill="1" applyBorder="1" applyAlignment="1" applyProtection="1">
      <alignment horizontal="center" vertical="center" wrapText="1"/>
    </xf>
    <xf numFmtId="0" fontId="3" fillId="8" borderId="5" xfId="0" applyNumberFormat="1" applyFont="1" applyFill="1" applyBorder="1" applyAlignment="1" applyProtection="1">
      <alignment horizontal="center" vertical="center" wrapText="1"/>
    </xf>
    <xf numFmtId="0" fontId="3" fillId="15" borderId="6" xfId="0" applyNumberFormat="1" applyFont="1" applyFill="1" applyBorder="1" applyAlignment="1" applyProtection="1">
      <alignment horizontal="center" textRotation="90"/>
    </xf>
    <xf numFmtId="0" fontId="3" fillId="15" borderId="6" xfId="0" applyNumberFormat="1" applyFont="1" applyFill="1" applyBorder="1" applyAlignment="1" applyProtection="1">
      <alignment horizontal="center" textRotation="90" wrapText="1"/>
    </xf>
    <xf numFmtId="0" fontId="3" fillId="0" borderId="7" xfId="0" applyNumberFormat="1" applyFont="1" applyFill="1" applyBorder="1" applyAlignment="1" applyProtection="1">
      <alignment horizontal="center" textRotation="90" wrapText="1"/>
    </xf>
    <xf numFmtId="0" fontId="3" fillId="0" borderId="6" xfId="0" applyNumberFormat="1" applyFont="1" applyFill="1" applyBorder="1" applyAlignment="1" applyProtection="1">
      <alignment horizontal="center" textRotation="90" wrapText="1"/>
    </xf>
    <xf numFmtId="0" fontId="5" fillId="0" borderId="8" xfId="0" applyNumberFormat="1" applyFont="1" applyBorder="1" applyAlignment="1" applyProtection="1">
      <alignment horizontal="center"/>
    </xf>
    <xf numFmtId="0" fontId="5" fillId="0" borderId="8" xfId="0" applyNumberFormat="1" applyFont="1" applyBorder="1" applyAlignment="1" applyProtection="1">
      <alignment horizontal="left"/>
    </xf>
    <xf numFmtId="0" fontId="3" fillId="0" borderId="8" xfId="0" applyNumberFormat="1" applyFont="1" applyBorder="1" applyAlignment="1" applyProtection="1">
      <alignment horizontal="center"/>
    </xf>
    <xf numFmtId="164" fontId="3" fillId="0" borderId="8" xfId="1" applyNumberFormat="1" applyFont="1" applyBorder="1" applyAlignment="1" applyProtection="1">
      <alignment horizontal="center"/>
    </xf>
    <xf numFmtId="164" fontId="3" fillId="0" borderId="9" xfId="1" applyNumberFormat="1" applyFont="1" applyBorder="1" applyAlignment="1" applyProtection="1">
      <alignment horizontal="center"/>
    </xf>
    <xf numFmtId="164" fontId="3" fillId="0" borderId="10" xfId="1" applyNumberFormat="1" applyFont="1" applyBorder="1" applyAlignment="1" applyProtection="1">
      <alignment horizontal="center"/>
    </xf>
    <xf numFmtId="164" fontId="3" fillId="0" borderId="11" xfId="1" applyNumberFormat="1" applyFont="1" applyBorder="1" applyAlignment="1" applyProtection="1">
      <alignment horizontal="center"/>
    </xf>
    <xf numFmtId="0" fontId="5" fillId="0" borderId="12" xfId="0" applyNumberFormat="1" applyFont="1" applyBorder="1" applyAlignment="1" applyProtection="1">
      <alignment horizontal="center"/>
    </xf>
    <xf numFmtId="0" fontId="5" fillId="0" borderId="11" xfId="0" applyNumberFormat="1" applyFont="1" applyBorder="1" applyAlignment="1" applyProtection="1">
      <alignment horizontal="center"/>
    </xf>
    <xf numFmtId="0" fontId="5" fillId="0" borderId="13" xfId="0" applyNumberFormat="1" applyFont="1" applyBorder="1" applyAlignment="1" applyProtection="1">
      <alignment horizontal="center"/>
    </xf>
    <xf numFmtId="0" fontId="5" fillId="0" borderId="13" xfId="0" applyNumberFormat="1" applyFont="1" applyBorder="1" applyAlignment="1" applyProtection="1">
      <alignment horizontal="left"/>
    </xf>
    <xf numFmtId="0" fontId="3" fillId="0" borderId="13" xfId="0" applyNumberFormat="1" applyFont="1" applyBorder="1" applyAlignment="1" applyProtection="1">
      <alignment horizontal="center"/>
    </xf>
    <xf numFmtId="164" fontId="3" fillId="0" borderId="13" xfId="1" applyNumberFormat="1" applyFont="1" applyBorder="1" applyAlignment="1" applyProtection="1">
      <alignment horizontal="center"/>
    </xf>
    <xf numFmtId="164" fontId="3" fillId="0" borderId="14" xfId="1" applyNumberFormat="1" applyFont="1" applyBorder="1" applyAlignment="1" applyProtection="1">
      <alignment horizontal="center"/>
    </xf>
    <xf numFmtId="164" fontId="3" fillId="0" borderId="15" xfId="1" applyNumberFormat="1" applyFont="1" applyBorder="1" applyAlignment="1" applyProtection="1">
      <alignment horizontal="center"/>
    </xf>
    <xf numFmtId="0" fontId="5" fillId="0" borderId="16" xfId="0" applyNumberFormat="1" applyFont="1" applyBorder="1" applyAlignment="1" applyProtection="1">
      <alignment horizontal="center"/>
    </xf>
    <xf numFmtId="0" fontId="5" fillId="0" borderId="13" xfId="0" applyNumberFormat="1" applyFont="1" applyBorder="1" applyAlignment="1" applyProtection="1">
      <alignment horizontal="center" wrapText="1"/>
    </xf>
    <xf numFmtId="0" fontId="3" fillId="0" borderId="17" xfId="0" applyNumberFormat="1" applyFont="1" applyBorder="1" applyAlignment="1">
      <alignment horizontal="center"/>
    </xf>
    <xf numFmtId="0" fontId="3" fillId="0" borderId="13" xfId="0" applyNumberFormat="1" applyFont="1" applyBorder="1" applyAlignment="1">
      <alignment horizontal="left"/>
    </xf>
    <xf numFmtId="0" fontId="3" fillId="0" borderId="13" xfId="0" applyNumberFormat="1" applyFont="1" applyBorder="1" applyAlignment="1">
      <alignment horizontal="center"/>
    </xf>
    <xf numFmtId="164" fontId="3" fillId="0" borderId="13" xfId="1" applyNumberFormat="1" applyFont="1" applyBorder="1" applyAlignment="1">
      <alignment horizontal="center"/>
    </xf>
    <xf numFmtId="164" fontId="3" fillId="0" borderId="14" xfId="1" applyNumberFormat="1" applyFont="1" applyBorder="1" applyAlignment="1">
      <alignment horizontal="center"/>
    </xf>
    <xf numFmtId="164" fontId="3" fillId="0" borderId="18" xfId="1" applyNumberFormat="1" applyFont="1" applyBorder="1" applyAlignment="1">
      <alignment horizontal="center"/>
    </xf>
    <xf numFmtId="164" fontId="3" fillId="0" borderId="17" xfId="1" applyNumberFormat="1" applyFont="1" applyBorder="1" applyAlignment="1">
      <alignment horizontal="center"/>
    </xf>
    <xf numFmtId="0" fontId="3" fillId="0" borderId="19" xfId="1" applyNumberFormat="1" applyFont="1" applyBorder="1" applyAlignment="1">
      <alignment horizontal="center"/>
    </xf>
    <xf numFmtId="0" fontId="3" fillId="0" borderId="17" xfId="1" applyNumberFormat="1" applyFont="1" applyBorder="1" applyAlignment="1">
      <alignment horizontal="center"/>
    </xf>
    <xf numFmtId="0" fontId="3" fillId="0" borderId="0" xfId="0" applyFont="1"/>
    <xf numFmtId="0" fontId="7" fillId="2" borderId="0" xfId="3" applyFont="1" applyAlignment="1">
      <alignment horizontal="centerContinuous"/>
    </xf>
    <xf numFmtId="0" fontId="8" fillId="11" borderId="0" xfId="0" applyFont="1" applyFill="1"/>
    <xf numFmtId="0" fontId="0" fillId="11" borderId="0" xfId="0" applyFill="1"/>
    <xf numFmtId="0" fontId="0" fillId="16" borderId="0" xfId="0" applyFill="1" applyAlignment="1">
      <alignment horizontal="center"/>
    </xf>
    <xf numFmtId="0" fontId="0" fillId="11" borderId="0" xfId="0" applyFill="1" applyAlignment="1">
      <alignment horizontal="center"/>
    </xf>
    <xf numFmtId="0" fontId="2" fillId="11" borderId="0" xfId="2" applyFill="1"/>
    <xf numFmtId="0" fontId="9" fillId="0" borderId="0" xfId="0" applyFont="1"/>
    <xf numFmtId="0" fontId="0" fillId="16" borderId="0" xfId="0" applyFill="1" applyAlignment="1">
      <alignment horizontal="center" vertical="center"/>
    </xf>
    <xf numFmtId="0" fontId="10" fillId="11" borderId="0" xfId="0" applyFont="1" applyFill="1"/>
    <xf numFmtId="49" fontId="0" fillId="11" borderId="0" xfId="0" applyNumberFormat="1" applyFill="1" applyAlignment="1">
      <alignment horizontal="center"/>
    </xf>
    <xf numFmtId="0" fontId="11" fillId="11" borderId="0" xfId="4" applyFill="1"/>
    <xf numFmtId="49" fontId="0" fillId="11" borderId="0" xfId="0" applyNumberFormat="1" applyFill="1" applyAlignment="1">
      <alignment horizontal="left"/>
    </xf>
    <xf numFmtId="0" fontId="0" fillId="11" borderId="0" xfId="0" applyFill="1" applyAlignment="1">
      <alignment horizontal="left"/>
    </xf>
    <xf numFmtId="0" fontId="2" fillId="11" borderId="0" xfId="2" applyFill="1" applyAlignment="1">
      <alignment wrapText="1"/>
    </xf>
    <xf numFmtId="0" fontId="0" fillId="0" borderId="0" xfId="0" pivotButton="1"/>
    <xf numFmtId="0" fontId="0" fillId="0" borderId="0" xfId="0" applyAlignment="1">
      <alignment horizontal="left"/>
    </xf>
    <xf numFmtId="2" fontId="0" fillId="0" borderId="0" xfId="0" applyNumberFormat="1"/>
    <xf numFmtId="164" fontId="0" fillId="0" borderId="0" xfId="0" applyNumberFormat="1" applyAlignment="1">
      <alignment horizontal="left"/>
    </xf>
    <xf numFmtId="0" fontId="0" fillId="0" borderId="0" xfId="0" applyNumberFormat="1"/>
    <xf numFmtId="0" fontId="0" fillId="0" borderId="13" xfId="0" pivotButton="1" applyBorder="1"/>
    <xf numFmtId="0" fontId="0" fillId="0" borderId="13" xfId="0" applyBorder="1"/>
    <xf numFmtId="0" fontId="0" fillId="0" borderId="13" xfId="0" applyBorder="1" applyAlignment="1">
      <alignment horizontal="left"/>
    </xf>
    <xf numFmtId="0" fontId="0" fillId="0" borderId="13" xfId="0" applyBorder="1" applyAlignment="1">
      <alignment horizontal="left" indent="1"/>
    </xf>
    <xf numFmtId="164" fontId="13" fillId="0" borderId="2" xfId="5" applyNumberFormat="1" applyFont="1" applyFill="1" applyBorder="1" applyAlignment="1">
      <alignment horizontal="left" vertical="top"/>
    </xf>
    <xf numFmtId="164" fontId="14" fillId="0" borderId="0" xfId="0" applyNumberFormat="1" applyFont="1" applyFill="1"/>
    <xf numFmtId="164" fontId="0" fillId="0" borderId="0" xfId="0" applyNumberFormat="1" applyFill="1"/>
    <xf numFmtId="164" fontId="0" fillId="0" borderId="0" xfId="0" applyNumberFormat="1" applyFont="1" applyFill="1"/>
    <xf numFmtId="164" fontId="2" fillId="0" borderId="0" xfId="2" applyNumberFormat="1" applyFill="1"/>
    <xf numFmtId="0" fontId="0" fillId="0" borderId="0" xfId="0" applyAlignment="1">
      <alignment horizontal="center"/>
    </xf>
    <xf numFmtId="164" fontId="0" fillId="0" borderId="0" xfId="0" applyNumberFormat="1" applyAlignment="1">
      <alignment horizontal="center"/>
    </xf>
    <xf numFmtId="164" fontId="13" fillId="0" borderId="2" xfId="5" applyNumberFormat="1" applyFont="1" applyFill="1" applyBorder="1" applyAlignment="1">
      <alignment horizontal="center" vertical="top"/>
    </xf>
    <xf numFmtId="164" fontId="0" fillId="0" borderId="2" xfId="0" applyNumberFormat="1" applyFill="1" applyBorder="1" applyAlignment="1">
      <alignment horizontal="center" vertical="top"/>
    </xf>
    <xf numFmtId="164" fontId="13" fillId="0" borderId="0" xfId="5" applyNumberFormat="1" applyFont="1" applyFill="1" applyBorder="1" applyAlignment="1">
      <alignment horizontal="center"/>
    </xf>
    <xf numFmtId="164" fontId="0" fillId="0" borderId="0" xfId="0" applyNumberFormat="1" applyFill="1" applyAlignment="1">
      <alignment horizontal="center"/>
    </xf>
    <xf numFmtId="0" fontId="0" fillId="0" borderId="13" xfId="0" applyBorder="1" applyAlignment="1">
      <alignment horizontal="center"/>
    </xf>
    <xf numFmtId="0" fontId="0" fillId="0" borderId="8" xfId="0" applyBorder="1" applyAlignment="1">
      <alignment horizontal="center"/>
    </xf>
    <xf numFmtId="164" fontId="0" fillId="0" borderId="13" xfId="0" applyNumberFormat="1" applyBorder="1" applyAlignment="1">
      <alignment horizontal="center"/>
    </xf>
    <xf numFmtId="9" fontId="0" fillId="0" borderId="13" xfId="1" applyFont="1" applyBorder="1" applyAlignment="1">
      <alignment horizontal="center"/>
    </xf>
    <xf numFmtId="0" fontId="0" fillId="0" borderId="2" xfId="0" applyBorder="1" applyAlignment="1">
      <alignment horizontal="center"/>
    </xf>
    <xf numFmtId="0" fontId="0" fillId="0" borderId="13" xfId="0" applyFill="1" applyBorder="1" applyAlignment="1">
      <alignment horizontal="center"/>
    </xf>
    <xf numFmtId="0" fontId="4" fillId="9" borderId="2" xfId="0" applyFont="1" applyFill="1" applyBorder="1" applyAlignment="1" applyProtection="1">
      <alignment horizontal="right"/>
    </xf>
    <xf numFmtId="0" fontId="4" fillId="11" borderId="2" xfId="0" applyFont="1" applyFill="1" applyBorder="1" applyAlignment="1" applyProtection="1">
      <alignment horizontal="center" vertical="center"/>
    </xf>
    <xf numFmtId="0" fontId="4" fillId="11" borderId="3" xfId="0" applyFont="1" applyFill="1" applyBorder="1" applyAlignment="1" applyProtection="1">
      <alignment horizontal="center" vertical="center"/>
    </xf>
    <xf numFmtId="0" fontId="4" fillId="0" borderId="0" xfId="0" applyFont="1" applyBorder="1" applyProtection="1"/>
    <xf numFmtId="166" fontId="4" fillId="11" borderId="2" xfId="1" applyNumberFormat="1" applyFont="1" applyFill="1" applyBorder="1" applyAlignment="1" applyProtection="1">
      <alignment horizontal="center" vertical="center"/>
    </xf>
    <xf numFmtId="166" fontId="0" fillId="0" borderId="13" xfId="0" applyNumberFormat="1" applyBorder="1" applyAlignment="1">
      <alignment horizontal="center"/>
    </xf>
    <xf numFmtId="0" fontId="5" fillId="0" borderId="22" xfId="0" applyFont="1" applyFill="1" applyBorder="1" applyAlignment="1">
      <alignment horizontal="center" vertical="center" textRotation="90" wrapText="1"/>
    </xf>
    <xf numFmtId="16" fontId="5" fillId="0" borderId="21" xfId="0" applyNumberFormat="1" applyFont="1" applyFill="1" applyBorder="1" applyAlignment="1">
      <alignment horizontal="left" vertical="center" textRotation="90"/>
    </xf>
    <xf numFmtId="16" fontId="5" fillId="0" borderId="0" xfId="0" applyNumberFormat="1" applyFont="1" applyFill="1" applyBorder="1" applyAlignment="1">
      <alignment horizontal="left" vertical="distributed" textRotation="90" justifyLastLine="1"/>
    </xf>
    <xf numFmtId="0" fontId="5" fillId="0" borderId="0" xfId="0" applyFont="1" applyFill="1" applyBorder="1"/>
    <xf numFmtId="0" fontId="5" fillId="0" borderId="23" xfId="0" applyFont="1" applyFill="1" applyBorder="1"/>
    <xf numFmtId="0" fontId="3" fillId="0" borderId="22" xfId="0" applyFont="1" applyFill="1" applyBorder="1" applyAlignment="1">
      <alignment horizontal="center" vertical="center"/>
    </xf>
    <xf numFmtId="165" fontId="3" fillId="0" borderId="21" xfId="0" applyNumberFormat="1" applyFont="1" applyFill="1" applyBorder="1"/>
    <xf numFmtId="165" fontId="3" fillId="0" borderId="0" xfId="0" applyNumberFormat="1" applyFont="1" applyFill="1" applyBorder="1"/>
    <xf numFmtId="0" fontId="3" fillId="0" borderId="0" xfId="0" applyFont="1" applyFill="1" applyBorder="1"/>
    <xf numFmtId="16" fontId="3" fillId="0" borderId="0" xfId="0" applyNumberFormat="1" applyFont="1" applyFill="1" applyBorder="1"/>
    <xf numFmtId="0" fontId="5" fillId="17" borderId="23" xfId="0" applyFont="1" applyFill="1" applyBorder="1" applyAlignment="1">
      <alignment horizontal="center" vertical="center"/>
    </xf>
    <xf numFmtId="0" fontId="4" fillId="11" borderId="0" xfId="0" applyFont="1" applyFill="1" applyBorder="1" applyAlignment="1" applyProtection="1">
      <alignment horizontal="center" vertical="center"/>
    </xf>
    <xf numFmtId="167" fontId="3" fillId="8" borderId="0" xfId="0" applyNumberFormat="1" applyFont="1" applyFill="1" applyBorder="1" applyAlignment="1" applyProtection="1">
      <alignment horizontal="center"/>
    </xf>
    <xf numFmtId="0" fontId="3" fillId="8" borderId="0" xfId="0" applyNumberFormat="1" applyFont="1" applyFill="1" applyBorder="1" applyAlignment="1" applyProtection="1">
      <alignment horizontal="center" vertical="center"/>
    </xf>
    <xf numFmtId="0" fontId="3" fillId="18" borderId="0" xfId="0" applyFont="1" applyFill="1" applyBorder="1" applyProtection="1"/>
    <xf numFmtId="0" fontId="4" fillId="18" borderId="0" xfId="0" applyFont="1" applyFill="1" applyBorder="1" applyProtection="1"/>
    <xf numFmtId="0" fontId="3" fillId="20" borderId="0" xfId="0" applyFont="1" applyFill="1" applyBorder="1" applyAlignment="1" applyProtection="1">
      <alignment horizontal="center"/>
    </xf>
    <xf numFmtId="0" fontId="4" fillId="19" borderId="0" xfId="0" applyFont="1" applyFill="1" applyBorder="1" applyAlignment="1" applyProtection="1">
      <alignment horizontal="right"/>
    </xf>
    <xf numFmtId="0" fontId="4" fillId="19" borderId="0" xfId="0" applyFont="1" applyFill="1" applyBorder="1" applyProtection="1"/>
    <xf numFmtId="0" fontId="4" fillId="21" borderId="0" xfId="0" applyFont="1" applyFill="1" applyBorder="1" applyAlignment="1" applyProtection="1">
      <alignment horizontal="center" vertical="center"/>
    </xf>
    <xf numFmtId="166" fontId="4" fillId="21" borderId="0" xfId="1" applyNumberFormat="1" applyFont="1" applyFill="1" applyBorder="1" applyAlignment="1" applyProtection="1">
      <alignment horizontal="center" vertical="center"/>
    </xf>
    <xf numFmtId="167" fontId="3" fillId="8" borderId="1" xfId="0" applyNumberFormat="1" applyFont="1" applyFill="1" applyBorder="1" applyAlignment="1" applyProtection="1">
      <alignment horizontal="center"/>
    </xf>
    <xf numFmtId="0" fontId="0" fillId="0" borderId="0" xfId="0" applyAlignment="1">
      <alignment horizontal="left" vertical="top" wrapText="1"/>
    </xf>
  </cellXfs>
  <cellStyles count="6">
    <cellStyle name="20% - Accent1" xfId="3" builtinId="30"/>
    <cellStyle name="Explanatory Text" xfId="2" builtinId="53"/>
    <cellStyle name="Heading 1" xfId="5" builtinId="16"/>
    <cellStyle name="Hyperlink" xfId="4" builtinId="8"/>
    <cellStyle name="Normal" xfId="0" builtinId="0"/>
    <cellStyle name="Percent" xfId="1" builtinId="5"/>
  </cellStyles>
  <dxfs count="503">
    <dxf>
      <fill>
        <patternFill>
          <bgColor theme="2" tint="-0.24994659260841701"/>
        </patternFill>
      </fill>
    </dxf>
    <dxf>
      <fill>
        <patternFill>
          <bgColor theme="5" tint="0.39994506668294322"/>
        </patternFill>
      </fill>
    </dxf>
    <dxf>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bgColor rgb="FFFFFF99"/>
        </patternFill>
      </fill>
    </dxf>
    <dxf>
      <fill>
        <patternFill>
          <bgColor rgb="FFCCFFCC"/>
        </patternFill>
      </fill>
    </dxf>
    <dxf>
      <fill>
        <patternFill>
          <bgColor rgb="FFFFFF99"/>
        </patternFill>
      </fill>
    </dxf>
    <dxf>
      <fill>
        <patternFill>
          <bgColor rgb="FFCCFFCC"/>
        </patternFill>
      </fill>
    </dxf>
    <dxf>
      <fill>
        <patternFill>
          <bgColor rgb="FFCCFFCC"/>
        </patternFill>
      </fill>
    </dxf>
    <dxf>
      <fill>
        <patternFill>
          <bgColor rgb="FFFFFF99"/>
        </patternFill>
      </fill>
    </dxf>
    <dxf>
      <fill>
        <patternFill>
          <bgColor theme="5" tint="0.39994506668294322"/>
        </patternFill>
      </fill>
      <border>
        <left style="thin">
          <color rgb="FFFF0000"/>
        </left>
        <right style="thin">
          <color rgb="FFFF0000"/>
        </right>
        <top style="thin">
          <color rgb="FFFF0000"/>
        </top>
        <bottom style="thin">
          <color rgb="FFFF0000"/>
        </bottom>
      </border>
    </dxf>
    <dxf>
      <font>
        <color theme="3" tint="0.79998168889431442"/>
      </font>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border diagonalUp="0" diagonalDown="0" outline="0">
        <left style="medium">
          <color indexed="64"/>
        </left>
        <right/>
        <top/>
        <bottom/>
      </border>
    </dxf>
    <dxf>
      <font>
        <strike val="0"/>
        <outline val="0"/>
        <shadow val="0"/>
        <u val="none"/>
        <vertAlign val="baseline"/>
        <sz val="11"/>
        <name val="Arial"/>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medium">
          <color indexed="64"/>
        </left>
        <right style="medium">
          <color indexed="64"/>
        </right>
        <top/>
        <bottom/>
      </border>
    </dxf>
    <dxf>
      <font>
        <strike val="0"/>
        <outline val="0"/>
        <shadow val="0"/>
        <u val="none"/>
        <vertAlign val="baseline"/>
        <sz val="11"/>
        <name val="Arial"/>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medium">
          <color auto="1"/>
        </left>
        <right style="medium">
          <color auto="1"/>
        </right>
        <top/>
        <bottom/>
      </border>
    </dxf>
    <dxf>
      <font>
        <strike val="0"/>
        <outline val="0"/>
        <shadow val="0"/>
        <u val="none"/>
        <vertAlign val="baseline"/>
        <sz val="11"/>
        <name val="Arial"/>
        <scheme val="none"/>
      </font>
      <fill>
        <patternFill patternType="none">
          <fgColor indexed="64"/>
          <bgColor auto="1"/>
        </patternFill>
      </fill>
      <border diagonalUp="0" diagonalDown="0" outline="0">
        <left/>
        <right style="medium">
          <color auto="1"/>
        </right>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1" formatCode="d\-mmm"/>
      <fill>
        <patternFill patternType="none">
          <fgColor indexed="64"/>
          <bgColor auto="1"/>
        </patternFill>
      </fill>
    </dxf>
    <dxf>
      <border outline="0">
        <bottom style="thin">
          <color indexed="64"/>
        </bottom>
      </border>
    </dxf>
    <dxf>
      <font>
        <b val="0"/>
        <i val="0"/>
        <strike val="0"/>
        <condense val="0"/>
        <extend val="0"/>
        <outline val="0"/>
        <shadow val="0"/>
        <u val="none"/>
        <vertAlign val="baseline"/>
        <sz val="11"/>
        <color auto="1"/>
        <name val="Arial"/>
        <scheme val="none"/>
      </font>
      <numFmt numFmtId="21" formatCode="d\-mmm"/>
      <fill>
        <patternFill patternType="none">
          <fgColor indexed="64"/>
          <bgColor auto="1"/>
        </patternFill>
      </fill>
      <alignment horizontal="left" vertical="bottom" textRotation="90" wrapText="0" indent="0" justifyLastLine="0" shrinkToFit="0" readingOrder="0"/>
      <border diagonalUp="0" diagonalDown="0" outline="0">
        <left style="thin">
          <color indexed="64"/>
        </left>
        <right style="thin">
          <color indexed="64"/>
        </right>
        <top/>
        <bottom/>
      </border>
    </dxf>
    <dxf>
      <alignment horizontal="center" readingOrder="0"/>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0.0"/>
    </dxf>
    <dxf>
      <numFmt numFmtId="2" formatCode="0.00"/>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numFmt numFmtId="1"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double">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Unicode MS"/>
        <scheme val="none"/>
      </font>
      <numFmt numFmtId="164" formatCode="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164" formatCode="0.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Unicode MS"/>
        <scheme val="none"/>
      </font>
      <numFmt numFmtId="164" formatCode="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164" formatCode="0.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Unicode MS"/>
        <scheme val="none"/>
      </font>
      <numFmt numFmtId="164" formatCode="0.0"/>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164" formatCode="0.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Unicode MS"/>
        <scheme val="none"/>
      </font>
      <numFmt numFmtId="164" formatCode="0.0"/>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164" formatCode="0.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Unicode MS"/>
        <scheme val="none"/>
      </font>
      <numFmt numFmtId="164" formatCode="0.0"/>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164" formatCode="0.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Unicode MS"/>
        <scheme val="none"/>
      </font>
      <numFmt numFmtId="164" formatCode="0.0"/>
      <alignment horizontal="center" vertical="bottom" textRotation="0" wrapText="0" indent="0" justifyLastLine="0" shrinkToFit="0" readingOrder="0"/>
      <border diagonalUp="0" diagonalDown="0" outline="0">
        <left style="double">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164" formatCode="0.0"/>
      <alignment horizontal="center" vertical="bottom" textRotation="0" indent="0" justifyLastLine="0" shrinkToFit="0" readingOrder="0"/>
      <border diagonalUp="0" diagonalDown="0">
        <left style="medium">
          <color indexed="64"/>
        </left>
        <right style="thin">
          <color indexed="64"/>
        </right>
        <top style="thin">
          <color auto="1"/>
        </top>
        <bottom style="thin">
          <color auto="1"/>
        </bottom>
      </border>
    </dxf>
    <dxf>
      <font>
        <b val="0"/>
        <i val="0"/>
        <strike val="0"/>
        <condense val="0"/>
        <extend val="0"/>
        <outline val="0"/>
        <shadow val="0"/>
        <u val="none"/>
        <vertAlign val="baseline"/>
        <sz val="11"/>
        <color theme="1"/>
        <name val="Arial Unicode MS"/>
        <scheme val="none"/>
      </font>
      <numFmt numFmtId="164" formatCode="0.0"/>
      <alignment horizontal="center" vertical="bottom" textRotation="0" wrapText="0" indent="0" justifyLastLine="0" shrinkToFit="0" readingOrder="0"/>
      <border diagonalUp="0" diagonalDown="0" outline="0">
        <left style="medium">
          <color indexed="64"/>
        </left>
        <right style="medium">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scheme val="none"/>
      </font>
      <numFmt numFmtId="164" formatCode="0.0"/>
      <alignment horizontal="center" vertical="bottom" textRotation="0" wrapText="0" indent="0" justifyLastLine="0" shrinkToFit="0" readingOrder="0"/>
      <border diagonalUp="0" diagonalDown="0">
        <left style="thin">
          <color indexed="64"/>
        </left>
        <right style="double">
          <color indexed="64"/>
        </right>
        <top style="medium">
          <color auto="1"/>
        </top>
        <bottom style="medium">
          <color auto="1"/>
        </bottom>
        <vertical/>
        <horizontal style="medium">
          <color auto="1"/>
        </horizontal>
      </border>
      <protection locked="1" hidden="0"/>
    </dxf>
    <dxf>
      <font>
        <b val="0"/>
        <i val="0"/>
        <strike val="0"/>
        <condense val="0"/>
        <extend val="0"/>
        <outline val="0"/>
        <shadow val="0"/>
        <u val="none"/>
        <vertAlign val="baseline"/>
        <sz val="11"/>
        <color theme="1"/>
        <name val="Arial Unicode MS"/>
        <scheme val="none"/>
      </font>
      <numFmt numFmtId="164" formatCode="0.0"/>
      <alignment horizontal="center" vertical="bottom" textRotation="0" wrapText="0" indent="0" justifyLastLine="0" shrinkToFit="0" readingOrder="0"/>
      <border diagonalUp="0" diagonalDown="0" outline="0">
        <left style="medium">
          <color indexed="64"/>
        </left>
        <right style="medium">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scheme val="none"/>
      </font>
      <numFmt numFmtId="164" formatCode="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Unicode MS"/>
        <scheme val="none"/>
      </font>
      <numFmt numFmtId="164" formatCode="0.0"/>
      <alignment horizontal="center" vertical="bottom" textRotation="0" wrapText="0" indent="0" justifyLastLine="0" shrinkToFit="0" readingOrder="0"/>
      <border diagonalUp="0" diagonalDown="0" outline="0">
        <left style="medium">
          <color indexed="64"/>
        </left>
        <right style="medium">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164" formatCode="0.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Unicode MS"/>
        <scheme val="none"/>
      </font>
      <numFmt numFmtId="0" formatCode="General"/>
      <border diagonalUp="0" diagonalDown="0" outline="0">
        <left style="thin">
          <color indexed="64"/>
        </left>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Unicode MS"/>
        <scheme val="none"/>
      </font>
      <numFmt numFmtId="0" formatCode="General"/>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Unicode MS"/>
        <scheme val="none"/>
      </font>
      <numFmt numFmtId="0" formatCode="General"/>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Unicode MS"/>
        <scheme val="none"/>
      </font>
      <border diagonalUp="0" diagonalDown="0" outline="0">
        <left style="thin">
          <color indexed="64"/>
        </left>
        <right style="thin">
          <color indexed="64"/>
        </right>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Unicode MS"/>
        <scheme val="none"/>
      </font>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Unicode MS"/>
        <scheme val="none"/>
      </font>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Unicode MS"/>
        <scheme val="none"/>
      </font>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Unicode MS"/>
        <scheme val="none"/>
      </font>
      <border diagonalUp="0" diagonalDown="0" outline="0">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border diagonalUp="0" diagonalDown="0" outline="0">
        <left style="thin">
          <color indexed="64"/>
        </left>
        <right style="medium">
          <color indexed="64"/>
        </right>
        <top/>
        <bottom style="thin">
          <color indexed="64"/>
        </bottom>
      </border>
      <protection locked="1" hidden="0"/>
    </dxf>
    <dxf>
      <font>
        <b val="0"/>
        <i val="0"/>
        <strike val="0"/>
        <outline val="0"/>
        <shadow val="0"/>
        <u val="none"/>
        <vertAlign val="baseline"/>
        <sz val="11"/>
        <name val="Arial"/>
        <scheme val="none"/>
      </font>
      <numFmt numFmtId="0" formatCode="Genera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0" formatCode="General"/>
      <alignment horizontal="center"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auto="1"/>
        <name val="Arial"/>
        <scheme val="none"/>
      </font>
      <numFmt numFmtId="0" formatCode="General"/>
      <fill>
        <patternFill>
          <fgColor indexed="64"/>
        </patternFill>
      </fill>
      <alignment horizontal="center" vertical="bottom" textRotation="0" wrapText="0" indent="0" justifyLastLine="0" shrinkToFit="0" readingOrder="0"/>
      <border diagonalUp="0" diagonalDown="0" outline="0"/>
      <protection locked="1" hidden="0"/>
    </dxf>
    <dxf>
      <border>
        <bottom style="medium">
          <color indexed="64"/>
        </bottom>
        <vertical/>
        <horizontal/>
      </border>
    </dxf>
    <dxf>
      <font>
        <strike val="0"/>
        <outline val="0"/>
        <shadow val="0"/>
        <u val="none"/>
        <vertAlign val="baseline"/>
        <sz val="11"/>
        <name val="Arial"/>
        <scheme val="none"/>
      </font>
      <numFmt numFmtId="0" formatCode="General"/>
      <fill>
        <patternFill patternType="none">
          <fgColor indexed="64"/>
          <bgColor indexed="65"/>
        </patternFill>
      </fill>
      <border diagonalUp="0" diagonalDown="0" outline="0">
        <left style="thin">
          <color auto="1"/>
        </left>
        <right style="thin">
          <color auto="1"/>
        </right>
        <top/>
        <bottom/>
      </border>
      <protection locked="1" hidden="0"/>
    </dxf>
    <dxf>
      <fill>
        <patternFill>
          <bgColor theme="0" tint="-4.9989318521683403E-2"/>
        </patternFill>
      </fill>
      <border>
        <bottom style="thin">
          <color auto="1"/>
        </bottom>
        <horizontal style="thin">
          <color auto="1"/>
        </horizontal>
      </border>
    </dxf>
    <dxf>
      <fill>
        <patternFill patternType="none">
          <bgColor auto="1"/>
        </patternFill>
      </fill>
      <border>
        <bottom style="thin">
          <color auto="1"/>
        </bottom>
        <vertical/>
        <horizontal style="thin">
          <color auto="1"/>
        </horizontal>
      </border>
    </dxf>
    <dxf>
      <font>
        <b/>
        <i val="0"/>
      </font>
      <fill>
        <patternFill>
          <fgColor theme="9" tint="0.79998168889431442"/>
          <bgColor theme="9" tint="0.79998168889431442"/>
        </patternFill>
      </fill>
    </dxf>
    <dxf>
      <fill>
        <patternFill>
          <bgColor theme="8" tint="0.79998168889431442"/>
        </patternFill>
      </fill>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5"/>
          <bgColor theme="5"/>
        </patternFill>
      </fill>
    </dxf>
    <dxf>
      <font>
        <b/>
        <color theme="0"/>
      </font>
      <fill>
        <patternFill patternType="solid">
          <fgColor theme="5"/>
          <bgColor theme="5"/>
        </patternFill>
      </fill>
    </dxf>
    <dxf>
      <border>
        <top style="double">
          <color theme="1"/>
        </top>
      </border>
    </dxf>
    <dxf>
      <font>
        <b val="0"/>
        <i val="0"/>
        <color theme="0"/>
      </font>
      <fill>
        <patternFill patternType="solid">
          <fgColor theme="2"/>
          <bgColor theme="2"/>
        </patternFill>
      </fill>
      <border>
        <bottom style="medium">
          <color theme="1"/>
        </bottom>
      </border>
    </dxf>
    <dxf>
      <font>
        <color theme="1"/>
      </font>
      <border>
        <top style="medium">
          <color theme="1"/>
        </top>
        <bottom style="medium">
          <color theme="1"/>
        </bottom>
      </border>
    </dxf>
  </dxfs>
  <tableStyles count="2" defaultTableStyle="TableStyleMedium2" defaultPivotStyle="PivotStyleLight16">
    <tableStyle name="AbsencesTableStyle" pivot="0" count="7">
      <tableStyleElement type="wholeTable" dxfId="502"/>
      <tableStyleElement type="headerRow" dxfId="501"/>
      <tableStyleElement type="totalRow" dxfId="500"/>
      <tableStyleElement type="firstColumn" dxfId="499"/>
      <tableStyleElement type="lastColumn" dxfId="498"/>
      <tableStyleElement type="firstRowStripe" dxfId="497"/>
      <tableStyleElement type="firstColumnStripe" dxfId="496"/>
    </tableStyle>
    <tableStyle name="Table Style Custom 2" pivot="0" count="4">
      <tableStyleElement type="wholeTable" dxfId="495"/>
      <tableStyleElement type="headerRow" dxfId="494"/>
      <tableStyleElement type="firstRowStripe" dxfId="493"/>
      <tableStyleElement type="secondRowStripe" dxfId="492"/>
    </tableStyle>
  </tableStyles>
  <colors>
    <mruColors>
      <color rgb="FFFF0D0D"/>
      <color rgb="FF6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 Grade Tracker_Points_Simple_2010.xlsx]Distribution!DistPivotTable</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Running Average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Distribution!$B$3</c:f>
              <c:strCache>
                <c:ptCount val="1"/>
                <c:pt idx="0">
                  <c:v>Total</c:v>
                </c:pt>
              </c:strCache>
            </c:strRef>
          </c:tx>
          <c:spPr>
            <a:solidFill>
              <a:schemeClr val="accent1"/>
            </a:solidFill>
            <a:ln>
              <a:noFill/>
            </a:ln>
            <a:effectLst/>
          </c:spPr>
          <c:invertIfNegative val="0"/>
          <c:cat>
            <c:strRef>
              <c:f>Distribution!$A$4:$A$9</c:f>
              <c:strCache>
                <c:ptCount val="5"/>
                <c:pt idx="0">
                  <c:v>&lt;60</c:v>
                </c:pt>
                <c:pt idx="1">
                  <c:v>60-70</c:v>
                </c:pt>
                <c:pt idx="2">
                  <c:v>70-80</c:v>
                </c:pt>
                <c:pt idx="3">
                  <c:v>80-90</c:v>
                </c:pt>
                <c:pt idx="4">
                  <c:v>90-100</c:v>
                </c:pt>
              </c:strCache>
            </c:strRef>
          </c:cat>
          <c:val>
            <c:numRef>
              <c:f>Distribution!$B$4:$B$9</c:f>
              <c:numCache>
                <c:formatCode>General</c:formatCode>
                <c:ptCount val="5"/>
                <c:pt idx="0">
                  <c:v>6</c:v>
                </c:pt>
                <c:pt idx="2">
                  <c:v>1</c:v>
                </c:pt>
                <c:pt idx="4">
                  <c:v>3</c:v>
                </c:pt>
              </c:numCache>
            </c:numRef>
          </c:val>
        </c:ser>
        <c:dLbls>
          <c:showLegendKey val="0"/>
          <c:showVal val="0"/>
          <c:showCatName val="0"/>
          <c:showSerName val="0"/>
          <c:showPercent val="0"/>
          <c:showBubbleSize val="0"/>
        </c:dLbls>
        <c:gapWidth val="219"/>
        <c:overlap val="-27"/>
        <c:axId val="313981328"/>
        <c:axId val="313979760"/>
      </c:barChart>
      <c:catAx>
        <c:axId val="313981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3979760"/>
        <c:crosses val="autoZero"/>
        <c:auto val="1"/>
        <c:lblAlgn val="ctr"/>
        <c:lblOffset val="100"/>
        <c:noMultiLvlLbl val="0"/>
      </c:catAx>
      <c:valAx>
        <c:axId val="313979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Students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3981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 Grade Tracker_Points_Simple_2010.xlsx]Explore!ExplPivotTable</c:name>
    <c:fmtId val="0"/>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Explore!$B$3</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Explore!$A$4:$A$5</c:f>
              <c:strCache>
                <c:ptCount val="1"/>
                <c:pt idx="0">
                  <c:v>1</c:v>
                </c:pt>
              </c:strCache>
            </c:strRef>
          </c:cat>
          <c:val>
            <c:numRef>
              <c:f>Explore!$B$4:$B$5</c:f>
              <c:numCache>
                <c:formatCode>0.00</c:formatCode>
                <c:ptCount val="1"/>
                <c:pt idx="0">
                  <c:v>36.666666666666671</c:v>
                </c:pt>
              </c:numCache>
            </c:numRef>
          </c:val>
        </c:ser>
        <c:dLbls>
          <c:dLblPos val="outEnd"/>
          <c:showLegendKey val="0"/>
          <c:showVal val="1"/>
          <c:showCatName val="0"/>
          <c:showSerName val="0"/>
          <c:showPercent val="0"/>
          <c:showBubbleSize val="0"/>
        </c:dLbls>
        <c:gapWidth val="219"/>
        <c:overlap val="-27"/>
        <c:axId val="313982504"/>
        <c:axId val="313982112"/>
      </c:barChart>
      <c:catAx>
        <c:axId val="313982504"/>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Class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13982112"/>
        <c:crosses val="autoZero"/>
        <c:auto val="1"/>
        <c:lblAlgn val="ctr"/>
        <c:lblOffset val="100"/>
        <c:noMultiLvlLbl val="0"/>
      </c:catAx>
      <c:valAx>
        <c:axId val="313982112"/>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Class Average</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13982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23</xdr:row>
      <xdr:rowOff>4079</xdr:rowOff>
    </xdr:from>
    <xdr:to>
      <xdr:col>10</xdr:col>
      <xdr:colOff>619126</xdr:colOff>
      <xdr:row>28</xdr:row>
      <xdr:rowOff>81642</xdr:rowOff>
    </xdr:to>
    <xdr:sp macro="" textlink="">
      <xdr:nvSpPr>
        <xdr:cNvPr id="7" name="Rounded Rectangular Callout 6"/>
        <xdr:cNvSpPr/>
      </xdr:nvSpPr>
      <xdr:spPr>
        <a:xfrm>
          <a:off x="47626" y="4848222"/>
          <a:ext cx="2626179" cy="962027"/>
        </a:xfrm>
        <a:prstGeom prst="wedgeRoundRectCallout">
          <a:avLst>
            <a:gd name="adj1" fmla="val -19249"/>
            <a:gd name="adj2" fmla="val -72714"/>
            <a:gd name="adj3" fmla="val 16667"/>
          </a:avLst>
        </a:prstGeom>
        <a:solidFill>
          <a:schemeClr val="accent6">
            <a:lumMod val="20000"/>
            <a:lumOff val="80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aseline="0"/>
            <a:t>    </a:t>
          </a:r>
          <a:r>
            <a:rPr lang="en-US" sz="1100"/>
            <a:t>To </a:t>
          </a:r>
          <a:r>
            <a:rPr lang="en-US" sz="1100" b="1"/>
            <a:t>add more students</a:t>
          </a:r>
          <a:r>
            <a:rPr lang="en-US" sz="1100"/>
            <a:t>,</a:t>
          </a:r>
          <a:r>
            <a:rPr lang="en-US" sz="1100" baseline="0"/>
            <a:t> simply type right below the table and it will automatically expand. </a:t>
          </a:r>
        </a:p>
        <a:p>
          <a:pPr algn="l"/>
          <a:r>
            <a:rPr lang="en-US" sz="1100" baseline="0">
              <a:solidFill>
                <a:schemeClr val="bg1">
                  <a:lumMod val="65000"/>
                </a:schemeClr>
              </a:solidFill>
            </a:rPr>
            <a:t>To delete, click border, press delete</a:t>
          </a:r>
          <a:endParaRPr lang="en-US" sz="1100">
            <a:solidFill>
              <a:schemeClr val="bg1">
                <a:lumMod val="65000"/>
              </a:schemeClr>
            </a:solidFill>
          </a:endParaRPr>
        </a:p>
      </xdr:txBody>
    </xdr:sp>
    <xdr:clientData fPrintsWithSheet="0"/>
  </xdr:twoCellAnchor>
  <xdr:twoCellAnchor editAs="oneCell">
    <xdr:from>
      <xdr:col>19</xdr:col>
      <xdr:colOff>76199</xdr:colOff>
      <xdr:row>23</xdr:row>
      <xdr:rowOff>9524</xdr:rowOff>
    </xdr:from>
    <xdr:to>
      <xdr:col>22</xdr:col>
      <xdr:colOff>257175</xdr:colOff>
      <xdr:row>27</xdr:row>
      <xdr:rowOff>27215</xdr:rowOff>
    </xdr:to>
    <xdr:sp macro="" textlink="">
      <xdr:nvSpPr>
        <xdr:cNvPr id="8" name="Rounded Rectangular Callout 7"/>
        <xdr:cNvSpPr/>
      </xdr:nvSpPr>
      <xdr:spPr>
        <a:xfrm>
          <a:off x="2933699" y="4853667"/>
          <a:ext cx="2466976" cy="725262"/>
        </a:xfrm>
        <a:prstGeom prst="wedgeRoundRectCallout">
          <a:avLst>
            <a:gd name="adj1" fmla="val -38274"/>
            <a:gd name="adj2" fmla="val -86549"/>
            <a:gd name="adj3" fmla="val 16667"/>
          </a:avLst>
        </a:prstGeom>
        <a:solidFill>
          <a:schemeClr val="accent6">
            <a:lumMod val="20000"/>
            <a:lumOff val="80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aseline="0"/>
            <a:t>    </a:t>
          </a:r>
          <a:r>
            <a:rPr lang="en-US" sz="1100" b="1" baseline="0"/>
            <a:t>S</a:t>
          </a:r>
          <a:r>
            <a:rPr lang="en-US" sz="1100" b="1"/>
            <a:t>tart entering in scores in column</a:t>
          </a:r>
          <a:r>
            <a:rPr lang="en-US" sz="1100" b="1" baseline="0"/>
            <a:t> T.</a:t>
          </a:r>
          <a:endParaRPr lang="en-US" sz="1100" b="1"/>
        </a:p>
        <a:p>
          <a:pPr algn="l"/>
          <a:r>
            <a:rPr lang="en-US" sz="1100" b="0" baseline="0"/>
            <a:t>    Fill in the header information at top.    </a:t>
          </a:r>
        </a:p>
        <a:p>
          <a:pPr algn="l"/>
          <a:r>
            <a:rPr lang="en-US" sz="1100" baseline="0">
              <a:solidFill>
                <a:schemeClr val="bg1">
                  <a:lumMod val="65000"/>
                </a:schemeClr>
              </a:solidFill>
            </a:rPr>
            <a:t>To delete, click border, press delete</a:t>
          </a:r>
          <a:endParaRPr lang="en-US" sz="1100">
            <a:solidFill>
              <a:schemeClr val="bg1">
                <a:lumMod val="65000"/>
              </a:schemeClr>
            </a:solidFill>
          </a:endParaRPr>
        </a:p>
      </xdr:txBody>
    </xdr:sp>
    <xdr:clientData fPrintsWithSheet="0"/>
  </xdr:twoCellAnchor>
  <xdr:twoCellAnchor>
    <xdr:from>
      <xdr:col>2</xdr:col>
      <xdr:colOff>123824</xdr:colOff>
      <xdr:row>0</xdr:row>
      <xdr:rowOff>47626</xdr:rowOff>
    </xdr:from>
    <xdr:to>
      <xdr:col>9</xdr:col>
      <xdr:colOff>704850</xdr:colOff>
      <xdr:row>4</xdr:row>
      <xdr:rowOff>47626</xdr:rowOff>
    </xdr:to>
    <xdr:sp macro="" textlink="">
      <xdr:nvSpPr>
        <xdr:cNvPr id="9" name="Rounded Rectangle 8"/>
        <xdr:cNvSpPr/>
      </xdr:nvSpPr>
      <xdr:spPr>
        <a:xfrm>
          <a:off x="2181224" y="47626"/>
          <a:ext cx="6248401" cy="723900"/>
        </a:xfrm>
        <a:prstGeom prst="roundRect">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baseline="0"/>
            <a:t>    </a:t>
          </a:r>
          <a:r>
            <a:rPr lang="en-US" sz="1100"/>
            <a:t>These columns</a:t>
          </a:r>
          <a:r>
            <a:rPr lang="en-US" sz="1100" baseline="0"/>
            <a:t> hold demographic information and other data that you can use later to help analyze how your students are doing. Rename and make your own custom categories!</a:t>
          </a:r>
        </a:p>
        <a:p>
          <a:pPr algn="l"/>
          <a:r>
            <a:rPr lang="en-US" sz="1100" baseline="0">
              <a:solidFill>
                <a:schemeClr val="bg1">
                  <a:lumMod val="65000"/>
                </a:schemeClr>
              </a:solidFill>
            </a:rPr>
            <a:t>To delete, click border, press delete</a:t>
          </a:r>
          <a:endParaRPr lang="en-US" sz="1100">
            <a:solidFill>
              <a:schemeClr val="bg1">
                <a:lumMod val="65000"/>
              </a:schemeClr>
            </a:solidFill>
          </a:endParaRPr>
        </a:p>
      </xdr:txBody>
    </xdr:sp>
    <xdr:clientData fPrintsWithSheet="0"/>
  </xdr:twoCellAnchor>
  <xdr:twoCellAnchor>
    <xdr:from>
      <xdr:col>13</xdr:col>
      <xdr:colOff>9525</xdr:colOff>
      <xdr:row>0</xdr:row>
      <xdr:rowOff>27746</xdr:rowOff>
    </xdr:from>
    <xdr:to>
      <xdr:col>18</xdr:col>
      <xdr:colOff>723899</xdr:colOff>
      <xdr:row>10</xdr:row>
      <xdr:rowOff>57150</xdr:rowOff>
    </xdr:to>
    <xdr:sp macro="" textlink="">
      <xdr:nvSpPr>
        <xdr:cNvPr id="10" name="Rounded Rectangle 9"/>
        <xdr:cNvSpPr/>
      </xdr:nvSpPr>
      <xdr:spPr>
        <a:xfrm>
          <a:off x="4467225" y="27746"/>
          <a:ext cx="4476749" cy="1048579"/>
        </a:xfrm>
        <a:prstGeom prst="roundRect">
          <a:avLst>
            <a:gd name="adj" fmla="val 9046"/>
          </a:avLst>
        </a:prstGeom>
        <a:solidFill>
          <a:schemeClr val="accent3">
            <a:lumMod val="60000"/>
            <a:lumOff val="40000"/>
          </a:schemeClr>
        </a:soli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100" i="1" baseline="0">
              <a:solidFill>
                <a:schemeClr val="dk1"/>
              </a:solidFill>
              <a:effectLst/>
              <a:latin typeface="+mn-lt"/>
              <a:ea typeface="+mn-ea"/>
              <a:cs typeface="+mn-cs"/>
            </a:rPr>
            <a:t>    These columns are not for entering scores.</a:t>
          </a:r>
          <a:r>
            <a:rPr lang="en-US" sz="1100" baseline="0">
              <a:solidFill>
                <a:schemeClr val="dk1"/>
              </a:solidFill>
              <a:effectLst/>
              <a:latin typeface="+mn-lt"/>
              <a:ea typeface="+mn-ea"/>
              <a:cs typeface="+mn-cs"/>
            </a:rPr>
            <a:t> =)</a:t>
          </a:r>
          <a:r>
            <a:rPr lang="en-US" sz="1100" baseline="0"/>
            <a:t> </a:t>
          </a:r>
        </a:p>
        <a:p>
          <a:pPr algn="l"/>
          <a:r>
            <a:rPr lang="en-US" sz="1100"/>
            <a:t>    These columns</a:t>
          </a:r>
          <a:r>
            <a:rPr lang="en-US" sz="1100" baseline="0"/>
            <a:t> </a:t>
          </a:r>
          <a:r>
            <a:rPr lang="en-US" sz="1100" b="0" baseline="0"/>
            <a:t>give</a:t>
          </a:r>
          <a:r>
            <a:rPr lang="en-US" sz="1100" b="1" baseline="0"/>
            <a:t> averages by assessment type</a:t>
          </a:r>
          <a:r>
            <a:rPr lang="en-US" sz="1100" baseline="0"/>
            <a:t>. See how your students perform across assessment types. Feel free to rename and make your own custom categories.  </a:t>
          </a:r>
        </a:p>
        <a:p>
          <a:pPr algn="l"/>
          <a:r>
            <a:rPr lang="en-US" sz="1100" baseline="0"/>
            <a:t>    (Note: weights also work for assessment types.)</a:t>
          </a:r>
        </a:p>
      </xdr:txBody>
    </xdr:sp>
    <xdr:clientData fPrintsWithSheet="0"/>
  </xdr:twoCellAnchor>
  <xdr:twoCellAnchor>
    <xdr:from>
      <xdr:col>11</xdr:col>
      <xdr:colOff>24848</xdr:colOff>
      <xdr:row>0</xdr:row>
      <xdr:rowOff>22776</xdr:rowOff>
    </xdr:from>
    <xdr:to>
      <xdr:col>12</xdr:col>
      <xdr:colOff>771525</xdr:colOff>
      <xdr:row>4</xdr:row>
      <xdr:rowOff>57150</xdr:rowOff>
    </xdr:to>
    <xdr:sp macro="" textlink="">
      <xdr:nvSpPr>
        <xdr:cNvPr id="11" name="Rounded Rectangle 10"/>
        <xdr:cNvSpPr/>
      </xdr:nvSpPr>
      <xdr:spPr>
        <a:xfrm>
          <a:off x="2882348" y="22776"/>
          <a:ext cx="1546777" cy="758274"/>
        </a:xfrm>
        <a:prstGeom prst="roundRect">
          <a:avLst>
            <a:gd name="adj" fmla="val 1300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US" sz="1100" baseline="0"/>
            <a:t>"Total possible points" accounts for "Excused" assignments.</a:t>
          </a:r>
        </a:p>
      </xdr:txBody>
    </xdr:sp>
    <xdr:clientData fPrintsWithSheet="0"/>
  </xdr:twoCellAnchor>
  <xdr:twoCellAnchor editAs="oneCell">
    <xdr:from>
      <xdr:col>23</xdr:col>
      <xdr:colOff>224117</xdr:colOff>
      <xdr:row>0</xdr:row>
      <xdr:rowOff>44822</xdr:rowOff>
    </xdr:from>
    <xdr:to>
      <xdr:col>26</xdr:col>
      <xdr:colOff>587835</xdr:colOff>
      <xdr:row>10</xdr:row>
      <xdr:rowOff>1692088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29617" y="44822"/>
          <a:ext cx="2649718" cy="2655795"/>
        </a:xfrm>
        <a:prstGeom prst="roundRect">
          <a:avLst>
            <a:gd name="adj" fmla="val 8594"/>
          </a:avLst>
        </a:prstGeom>
        <a:solidFill>
          <a:srgbClr val="FFFFFF">
            <a:shade val="85000"/>
          </a:srgbClr>
        </a:solidFill>
        <a:ln>
          <a:solidFill>
            <a:schemeClr val="accent6"/>
          </a:solidFill>
        </a:ln>
        <a:effectLst/>
      </xdr:spPr>
    </xdr:pic>
    <xdr:clientData/>
  </xdr:twoCellAnchor>
  <xdr:twoCellAnchor>
    <xdr:from>
      <xdr:col>20</xdr:col>
      <xdr:colOff>77750</xdr:colOff>
      <xdr:row>5</xdr:row>
      <xdr:rowOff>11206</xdr:rowOff>
    </xdr:from>
    <xdr:to>
      <xdr:col>26</xdr:col>
      <xdr:colOff>560293</xdr:colOff>
      <xdr:row>9</xdr:row>
      <xdr:rowOff>68036</xdr:rowOff>
    </xdr:to>
    <xdr:sp macro="" textlink="">
      <xdr:nvSpPr>
        <xdr:cNvPr id="12" name="Rounded Rectangle 11"/>
        <xdr:cNvSpPr/>
      </xdr:nvSpPr>
      <xdr:spPr>
        <a:xfrm>
          <a:off x="3697250" y="1018135"/>
          <a:ext cx="5054543" cy="764401"/>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aseline="0"/>
            <a:t>    </a:t>
          </a:r>
          <a:r>
            <a:rPr lang="en-US" sz="1100"/>
            <a:t>These rows help tally the scores for</a:t>
          </a:r>
          <a:r>
            <a:rPr lang="en-US" sz="1100" baseline="0"/>
            <a:t> the above distribution chart. You can change the ranges in cells B6:B10. Note: if you add more rows (to have more bars) insert rows above row 8 or 9 as the top and bottom formulas are different.</a:t>
          </a:r>
        </a:p>
      </xdr:txBody>
    </xdr:sp>
    <xdr:clientData fPrintsWithSheet="0"/>
  </xdr:twoCellAnchor>
  <xdr:twoCellAnchor editAs="oneCell">
    <xdr:from>
      <xdr:col>23</xdr:col>
      <xdr:colOff>37538</xdr:colOff>
      <xdr:row>23</xdr:row>
      <xdr:rowOff>2801</xdr:rowOff>
    </xdr:from>
    <xdr:to>
      <xdr:col>26</xdr:col>
      <xdr:colOff>723339</xdr:colOff>
      <xdr:row>27</xdr:row>
      <xdr:rowOff>156883</xdr:rowOff>
    </xdr:to>
    <xdr:sp macro="" textlink="">
      <xdr:nvSpPr>
        <xdr:cNvPr id="13" name="Rounded Rectangle 12"/>
        <xdr:cNvSpPr/>
      </xdr:nvSpPr>
      <xdr:spPr>
        <a:xfrm>
          <a:off x="5943038" y="4908176"/>
          <a:ext cx="2971801" cy="877982"/>
        </a:xfrm>
        <a:prstGeom prst="roundRect">
          <a:avLst/>
        </a:prstGeom>
        <a:solidFill>
          <a:schemeClr val="accent6">
            <a:lumMod val="20000"/>
            <a:lumOff val="80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aseline="0"/>
            <a:t>    </a:t>
          </a:r>
          <a:r>
            <a:rPr lang="en-US" sz="1100" b="1" baseline="0"/>
            <a:t> Like exploring? </a:t>
          </a:r>
          <a:r>
            <a:rPr lang="en-US" sz="1100" b="0" baseline="0"/>
            <a:t>There is more to see if you click the plus boxes above columns K and T or visit the other sheets labelled on the tabs at the bottom.</a:t>
          </a:r>
        </a:p>
      </xdr:txBody>
    </xdr:sp>
    <xdr:clientData fPrintsWithSheet="0"/>
  </xdr:twoCellAnchor>
  <xdr:twoCellAnchor>
    <xdr:from>
      <xdr:col>6</xdr:col>
      <xdr:colOff>234043</xdr:colOff>
      <xdr:row>21</xdr:row>
      <xdr:rowOff>69397</xdr:rowOff>
    </xdr:from>
    <xdr:to>
      <xdr:col>9</xdr:col>
      <xdr:colOff>586469</xdr:colOff>
      <xdr:row>26</xdr:row>
      <xdr:rowOff>25853</xdr:rowOff>
    </xdr:to>
    <xdr:sp macro="" textlink="">
      <xdr:nvSpPr>
        <xdr:cNvPr id="14" name="Rounded Rectangle 13"/>
        <xdr:cNvSpPr/>
      </xdr:nvSpPr>
      <xdr:spPr>
        <a:xfrm>
          <a:off x="5554436" y="4559754"/>
          <a:ext cx="2801712" cy="840920"/>
        </a:xfrm>
        <a:prstGeom prst="roundRect">
          <a:avLst>
            <a:gd name="adj" fmla="val 4264"/>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baseline="0"/>
            <a:t>    The counts of absent and late come from a hidden "Absences" sheet. If you want to track absenses/lates, right click on the sheet tabs at bottom and click "Unhide."</a:t>
          </a:r>
          <a:endParaRPr lang="en-US" sz="1100">
            <a:solidFill>
              <a:schemeClr val="bg1">
                <a:lumMod val="65000"/>
              </a:schemeClr>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5</xdr:row>
      <xdr:rowOff>104775</xdr:rowOff>
    </xdr:from>
    <xdr:to>
      <xdr:col>3</xdr:col>
      <xdr:colOff>4581525</xdr:colOff>
      <xdr:row>7</xdr:row>
      <xdr:rowOff>46796</xdr:rowOff>
    </xdr:to>
    <xdr:sp macro="" textlink="">
      <xdr:nvSpPr>
        <xdr:cNvPr id="2" name="Rounded Rectangle 1"/>
        <xdr:cNvSpPr/>
      </xdr:nvSpPr>
      <xdr:spPr>
        <a:xfrm>
          <a:off x="47625" y="1162050"/>
          <a:ext cx="7086600" cy="323021"/>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100"/>
            <a:t>For the following</a:t>
          </a:r>
          <a:r>
            <a:rPr lang="en-US" sz="1100" baseline="0"/>
            <a:t> </a:t>
          </a:r>
          <a:r>
            <a:rPr lang="en-US" sz="1100" i="1" baseline="0"/>
            <a:t>Things To Try</a:t>
          </a:r>
          <a:r>
            <a:rPr lang="en-US" sz="1100" i="0" baseline="0"/>
            <a:t> if you mark Yes in the darker boxes you will get more instructions.</a:t>
          </a:r>
          <a:endParaRPr lang="en-US" sz="1100" i="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13</xdr:row>
      <xdr:rowOff>114300</xdr:rowOff>
    </xdr:from>
    <xdr:to>
      <xdr:col>9</xdr:col>
      <xdr:colOff>342900</xdr:colOff>
      <xdr:row>30</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76200</xdr:colOff>
      <xdr:row>0</xdr:row>
      <xdr:rowOff>19050</xdr:rowOff>
    </xdr:from>
    <xdr:to>
      <xdr:col>15</xdr:col>
      <xdr:colOff>180977</xdr:colOff>
      <xdr:row>11</xdr:row>
      <xdr:rowOff>142046</xdr:rowOff>
    </xdr:to>
    <xdr:sp macro="" textlink="">
      <xdr:nvSpPr>
        <xdr:cNvPr id="3" name="Rounded Rectangle 2"/>
        <xdr:cNvSpPr/>
      </xdr:nvSpPr>
      <xdr:spPr>
        <a:xfrm>
          <a:off x="2400300" y="19050"/>
          <a:ext cx="8029577" cy="2218496"/>
        </a:xfrm>
        <a:prstGeom prst="roundRect">
          <a:avLst>
            <a:gd name="adj" fmla="val 4386"/>
          </a:avLst>
        </a:prstGeom>
        <a:solidFill>
          <a:schemeClr val="tx2">
            <a:lumMod val="20000"/>
            <a:lumOff val="8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en-US" sz="1100"/>
            <a:t>This is where</a:t>
          </a:r>
          <a:r>
            <a:rPr lang="en-US" sz="1100" baseline="0"/>
            <a:t> the fun starts! </a:t>
          </a:r>
        </a:p>
        <a:p>
          <a:pPr algn="l"/>
          <a:r>
            <a:rPr lang="en-US" sz="1100" baseline="0"/>
            <a:t>But first, always click on the table and then under PivotTable Tools-&gt; options, </a:t>
          </a:r>
          <a:r>
            <a:rPr lang="en-US" sz="1100" b="1" baseline="0"/>
            <a:t>click refresh to update the data</a:t>
          </a:r>
          <a:r>
            <a:rPr lang="en-US" sz="1100" baseline="0"/>
            <a:t>.</a:t>
          </a:r>
        </a:p>
        <a:p>
          <a:pPr algn="l"/>
          <a:r>
            <a:rPr lang="en-US" sz="1100" baseline="0"/>
            <a:t>Here (and on other sheets) a PivotTable and a PivotChart are used to summary and show scores. There is a good deal to learn, but learning this is very </a:t>
          </a:r>
          <a:r>
            <a:rPr lang="en-US" sz="1100" i="1" baseline="0"/>
            <a:t>POWERFUL</a:t>
          </a:r>
          <a:r>
            <a:rPr lang="en-US" sz="1100" i="0" baseline="0"/>
            <a:t>.</a:t>
          </a:r>
        </a:p>
        <a:p>
          <a:pPr algn="l"/>
          <a:endParaRPr lang="en-US" sz="1100" i="0" baseline="0"/>
        </a:p>
        <a:p>
          <a:pPr algn="l"/>
          <a:r>
            <a:rPr lang="en-US" sz="1100" i="0" baseline="0"/>
            <a:t>To change which score(s) are shown, click inside the table. </a:t>
          </a:r>
          <a:r>
            <a:rPr lang="en-US" sz="1100" b="1" i="0" baseline="0"/>
            <a:t>Drag and drop </a:t>
          </a:r>
          <a:r>
            <a:rPr lang="en-US" sz="1100" b="0" i="0" baseline="0"/>
            <a:t>fields into the four spots. Have fun!</a:t>
          </a:r>
        </a:p>
        <a:p>
          <a:pPr algn="l"/>
          <a:endParaRPr lang="en-US" sz="1100" b="0" i="0" baseline="0"/>
        </a:p>
        <a:p>
          <a:pPr algn="l"/>
          <a:r>
            <a:rPr lang="en-US" sz="1100" b="0" i="1" baseline="0"/>
            <a:t>To see a grade distributio</a:t>
          </a:r>
          <a:r>
            <a:rPr lang="en-US" sz="1100" b="0" i="0" baseline="0"/>
            <a:t>n, have the same field in both the row label area and the values area. Click on the dropdown icon on the field in values area and click value field settings. Then summarize the field by count. Click ok. Then select the scores in the row label on the PivotTable. Then on the ribbon open up to the options bar for the PivotTable. Then click 'group selection.' If the scores are all #'s, you can get it to bin scores by say every 10%.  Note: may not work quite the same on a Mac.</a:t>
          </a: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238125</xdr:colOff>
      <xdr:row>10</xdr:row>
      <xdr:rowOff>85724</xdr:rowOff>
    </xdr:from>
    <xdr:to>
      <xdr:col>9</xdr:col>
      <xdr:colOff>542925</xdr:colOff>
      <xdr:row>29</xdr:row>
      <xdr:rowOff>95249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0</xdr:row>
      <xdr:rowOff>190499</xdr:rowOff>
    </xdr:from>
    <xdr:to>
      <xdr:col>10</xdr:col>
      <xdr:colOff>123825</xdr:colOff>
      <xdr:row>9</xdr:row>
      <xdr:rowOff>9524</xdr:rowOff>
    </xdr:to>
    <xdr:sp macro="" textlink="">
      <xdr:nvSpPr>
        <xdr:cNvPr id="3" name="Rounded Rectangle 2"/>
        <xdr:cNvSpPr/>
      </xdr:nvSpPr>
      <xdr:spPr>
        <a:xfrm>
          <a:off x="3676650" y="190499"/>
          <a:ext cx="3781425" cy="1533525"/>
        </a:xfrm>
        <a:prstGeom prst="roundRect">
          <a:avLst>
            <a:gd name="adj" fmla="val 4386"/>
          </a:avLst>
        </a:prstGeom>
        <a:solidFill>
          <a:schemeClr val="tx2">
            <a:lumMod val="20000"/>
            <a:lumOff val="8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US" sz="1100" baseline="0"/>
            <a:t>Remember, always click on the table and then under PivotTable Tools-&gt; options, </a:t>
          </a:r>
          <a:r>
            <a:rPr lang="en-US" sz="1100" b="1" baseline="0"/>
            <a:t>click refresh to update the data</a:t>
          </a:r>
          <a:r>
            <a:rPr lang="en-US" sz="1100" baseline="0"/>
            <a:t>.</a:t>
          </a:r>
        </a:p>
        <a:p>
          <a:pPr algn="l"/>
          <a:r>
            <a:rPr lang="en-US" sz="1100" baseline="0"/>
            <a:t>Here (and on other sheets) a PivotTable and a PivotChart are used to summary and show scores. There is a good deal to learn, but learning this is very </a:t>
          </a:r>
          <a:r>
            <a:rPr lang="en-US" sz="1100" i="1" baseline="0"/>
            <a:t>POWERFUL</a:t>
          </a:r>
          <a:r>
            <a:rPr lang="en-US" sz="1100" i="0" baseline="0"/>
            <a:t>.</a:t>
          </a:r>
        </a:p>
        <a:p>
          <a:pPr algn="l"/>
          <a:endParaRPr lang="en-US" sz="1100" i="0" baseline="0"/>
        </a:p>
        <a:p>
          <a:pPr algn="l"/>
          <a:r>
            <a:rPr lang="en-US" sz="1100" i="0" baseline="0"/>
            <a:t>To change which score(s) are shown, click inside the table. </a:t>
          </a:r>
          <a:r>
            <a:rPr lang="en-US" sz="1100" b="1" i="0" baseline="0"/>
            <a:t>Drag and drop </a:t>
          </a:r>
          <a:r>
            <a:rPr lang="en-US" sz="1100" b="0" i="0" baseline="0"/>
            <a:t>fields into the four spots. Have fun!</a:t>
          </a:r>
        </a:p>
        <a:p>
          <a:pPr algn="l"/>
          <a:endParaRPr lang="en-US" sz="1100" b="0" i="0"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104775</xdr:colOff>
      <xdr:row>1</xdr:row>
      <xdr:rowOff>9526</xdr:rowOff>
    </xdr:from>
    <xdr:to>
      <xdr:col>12</xdr:col>
      <xdr:colOff>542925</xdr:colOff>
      <xdr:row>7</xdr:row>
      <xdr:rowOff>581026</xdr:rowOff>
    </xdr:to>
    <xdr:sp macro="" textlink="">
      <xdr:nvSpPr>
        <xdr:cNvPr id="2" name="Rounded Rectangle 1"/>
        <xdr:cNvSpPr/>
      </xdr:nvSpPr>
      <xdr:spPr>
        <a:xfrm>
          <a:off x="4391025" y="257176"/>
          <a:ext cx="4095750" cy="1828800"/>
        </a:xfrm>
        <a:prstGeom prst="roundRect">
          <a:avLst>
            <a:gd name="adj" fmla="val 12538"/>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200" b="1"/>
            <a:t>Grade Printouts </a:t>
          </a:r>
        </a:p>
        <a:p>
          <a:pPr algn="l"/>
          <a:r>
            <a:rPr lang="en-US" sz="1200" b="1"/>
            <a:t>Directions for the first time:  </a:t>
          </a:r>
        </a:p>
        <a:p>
          <a:pPr algn="l"/>
          <a:r>
            <a:rPr lang="en-US" sz="1100"/>
            <a:t>    Change your</a:t>
          </a:r>
          <a:r>
            <a:rPr lang="en-US" sz="1100" baseline="0"/>
            <a:t> </a:t>
          </a:r>
          <a:r>
            <a:rPr lang="en-US" sz="1100"/>
            <a:t>header style once. </a:t>
          </a:r>
        </a:p>
        <a:p>
          <a:pPr algn="l"/>
          <a:r>
            <a:rPr lang="en-US" sz="1100"/>
            <a:t>    Note: the comment  will go on every page printed. Print a student page seperately or handwrite if you want a custom comment. </a:t>
          </a:r>
          <a:r>
            <a:rPr lang="en-US" sz="1100">
              <a:solidFill>
                <a:schemeClr val="dk1"/>
              </a:solidFill>
              <a:effectLst/>
              <a:latin typeface="+mn-lt"/>
              <a:ea typeface="+mn-ea"/>
              <a:cs typeface="+mn-cs"/>
            </a:rPr>
            <a:t>To print just one student, click the down arrow (in A14) and select the proper student</a:t>
          </a:r>
          <a:r>
            <a:rPr lang="en-US" sz="1100" baseline="0">
              <a:solidFill>
                <a:schemeClr val="dk1"/>
              </a:solidFill>
              <a:effectLst/>
              <a:latin typeface="+mn-lt"/>
              <a:ea typeface="+mn-ea"/>
              <a:cs typeface="+mn-cs"/>
            </a:rPr>
            <a:t> or just print the correct page.</a:t>
          </a:r>
          <a:endParaRPr lang="en-US" sz="1100">
            <a:solidFill>
              <a:schemeClr val="dk1"/>
            </a:solidFill>
            <a:effectLst/>
            <a:latin typeface="+mn-lt"/>
            <a:ea typeface="+mn-ea"/>
            <a:cs typeface="+mn-cs"/>
          </a:endParaRPr>
        </a:p>
        <a:p>
          <a:pPr algn="l"/>
          <a:r>
            <a:rPr lang="en-US" sz="1100" baseline="0">
              <a:solidFill>
                <a:schemeClr val="dk1"/>
              </a:solidFill>
              <a:effectLst/>
              <a:latin typeface="+mn-lt"/>
              <a:ea typeface="+mn-ea"/>
              <a:cs typeface="+mn-cs"/>
            </a:rPr>
            <a:t>    Also, if you do not want to show the maximum points, weight,  or date, just delete those columns.</a:t>
          </a:r>
          <a:endParaRPr lang="en-US">
            <a:effectLst/>
          </a:endParaRPr>
        </a:p>
        <a:p>
          <a:pPr algn="l"/>
          <a:endParaRPr lang="en-US" sz="1100"/>
        </a:p>
      </xdr:txBody>
    </xdr:sp>
    <xdr:clientData fPrintsWithSheet="0"/>
  </xdr:twoCellAnchor>
  <xdr:twoCellAnchor>
    <xdr:from>
      <xdr:col>6</xdr:col>
      <xdr:colOff>114300</xdr:colOff>
      <xdr:row>8</xdr:row>
      <xdr:rowOff>114300</xdr:rowOff>
    </xdr:from>
    <xdr:to>
      <xdr:col>12</xdr:col>
      <xdr:colOff>584362</xdr:colOff>
      <xdr:row>32</xdr:row>
      <xdr:rowOff>180975</xdr:rowOff>
    </xdr:to>
    <xdr:sp macro="" textlink="">
      <xdr:nvSpPr>
        <xdr:cNvPr id="3" name="Rounded Rectangle 2"/>
        <xdr:cNvSpPr/>
      </xdr:nvSpPr>
      <xdr:spPr>
        <a:xfrm>
          <a:off x="4400550" y="2276475"/>
          <a:ext cx="4127662" cy="4638675"/>
        </a:xfrm>
        <a:prstGeom prst="roundRect">
          <a:avLst>
            <a:gd name="adj" fmla="val 6718"/>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US" sz="1100" b="1"/>
            <a:t>Caution</a:t>
          </a:r>
          <a:r>
            <a:rPr lang="en-US" sz="1100"/>
            <a:t>:</a:t>
          </a:r>
          <a:r>
            <a:rPr lang="en-US" sz="1100" baseline="0"/>
            <a:t> this slighty </a:t>
          </a:r>
          <a:r>
            <a:rPr lang="en-US" sz="1100" i="1" baseline="0"/>
            <a:t>tricky</a:t>
          </a:r>
          <a:r>
            <a:rPr lang="en-US" sz="1100" baseline="0"/>
            <a:t>.</a:t>
          </a:r>
        </a:p>
        <a:p>
          <a:pPr algn="l"/>
          <a:r>
            <a:rPr lang="en-US" sz="1100" baseline="0"/>
            <a:t>You can easily print out whichever scores you want to show, but you have to manually add the assignment name and fill the formulas. Here's how:</a:t>
          </a:r>
        </a:p>
        <a:p>
          <a:pPr algn="l"/>
          <a:r>
            <a:rPr lang="en-US" sz="1100" baseline="0"/>
            <a:t>1. Click in the "pivottable" in columns 1 and 2. Refresh the data.</a:t>
          </a:r>
        </a:p>
        <a:p>
          <a:pPr algn="l"/>
          <a:r>
            <a:rPr lang="en-US" sz="1100" baseline="0"/>
            <a:t>2. Drag fields you want to show into the lower-right hand box. </a:t>
          </a:r>
        </a:p>
        <a:p>
          <a:pPr algn="l"/>
          <a:r>
            <a:rPr lang="en-US" sz="1100" baseline="0"/>
            <a:t>3. Change the fields to show the average. (Try right clicking.)</a:t>
          </a:r>
        </a:p>
        <a:p>
          <a:pPr marL="0" marR="0" indent="0" algn="l" defTabSz="914400" eaLnBrk="1" fontAlgn="auto" latinLnBrk="0" hangingPunct="1">
            <a:lnSpc>
              <a:spcPct val="100000"/>
            </a:lnSpc>
            <a:spcBef>
              <a:spcPts val="0"/>
            </a:spcBef>
            <a:spcAft>
              <a:spcPts val="0"/>
            </a:spcAft>
            <a:buClrTx/>
            <a:buSzTx/>
            <a:buFontTx/>
            <a:buNone/>
            <a:tabLst/>
            <a:defRPr/>
          </a:pPr>
          <a:r>
            <a:rPr lang="en-US" sz="1100" baseline="0"/>
            <a:t>4. </a:t>
          </a:r>
          <a:r>
            <a:rPr lang="en-US" sz="1100" i="1" baseline="0"/>
            <a:t>Rename </a:t>
          </a:r>
          <a:r>
            <a:rPr lang="en-US" sz="1100" baseline="0"/>
            <a:t>the field from e.g. "Average of Homework 1" to </a:t>
          </a:r>
        </a:p>
        <a:p>
          <a:pPr marL="0" marR="0" indent="0" algn="l" defTabSz="914400" eaLnBrk="1" fontAlgn="auto" latinLnBrk="0" hangingPunct="1">
            <a:lnSpc>
              <a:spcPct val="100000"/>
            </a:lnSpc>
            <a:spcBef>
              <a:spcPts val="0"/>
            </a:spcBef>
            <a:spcAft>
              <a:spcPts val="0"/>
            </a:spcAft>
            <a:buClrTx/>
            <a:buSzTx/>
            <a:buFontTx/>
            <a:buNone/>
            <a:tabLst/>
            <a:defRPr/>
          </a:pPr>
          <a:r>
            <a:rPr lang="en-US" sz="1100" baseline="0"/>
            <a:t>" Homework 1". Note: </a:t>
          </a:r>
          <a:r>
            <a:rPr lang="en-US" sz="1100" baseline="0">
              <a:solidFill>
                <a:schemeClr val="dk1"/>
              </a:solidFill>
              <a:effectLst/>
              <a:latin typeface="+mn-lt"/>
              <a:ea typeface="+mn-ea"/>
              <a:cs typeface="+mn-cs"/>
            </a:rPr>
            <a:t>i</a:t>
          </a:r>
          <a:r>
            <a:rPr lang="en-US" sz="1100">
              <a:solidFill>
                <a:schemeClr val="dk1"/>
              </a:solidFill>
              <a:effectLst/>
              <a:latin typeface="+mn-lt"/>
              <a:ea typeface="+mn-ea"/>
              <a:cs typeface="+mn-cs"/>
            </a:rPr>
            <a:t>f you see a "PivotTable field name</a:t>
          </a:r>
          <a:r>
            <a:rPr lang="en-US" sz="1100" baseline="0">
              <a:solidFill>
                <a:schemeClr val="dk1"/>
              </a:solidFill>
              <a:effectLst/>
              <a:latin typeface="+mn-lt"/>
              <a:ea typeface="+mn-ea"/>
              <a:cs typeface="+mn-cs"/>
            </a:rPr>
            <a:t> already exists" warning when modifying the assignments,  be sure to have added a space before the name of the assignment.</a:t>
          </a:r>
        </a:p>
        <a:p>
          <a:pPr marL="0" marR="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5. The max points and weight are looked up by formulas. You must manually drag the formulas to the bottom row. So, select cell with the formulas. Click the little square on the bottom right of the selection. Drag down to the bottom row.</a:t>
          </a:r>
        </a:p>
        <a:p>
          <a:pPr marL="0" marR="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6. Be careful when printing to only print the page(s) you want. </a:t>
          </a:r>
        </a:p>
        <a:p>
          <a:pPr marL="0" marR="0" indent="0" algn="l"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Good news: </a:t>
          </a:r>
          <a:r>
            <a:rPr lang="en-US" sz="1100" baseline="0"/>
            <a:t>If you accidentally delete the formulas, there is a copy in cells D12:F12.</a:t>
          </a:r>
        </a:p>
        <a:p>
          <a:pPr marL="0" marR="0" indent="0" algn="l" defTabSz="914400" eaLnBrk="1" fontAlgn="auto" latinLnBrk="0" hangingPunct="1">
            <a:lnSpc>
              <a:spcPct val="100000"/>
            </a:lnSpc>
            <a:spcBef>
              <a:spcPts val="0"/>
            </a:spcBef>
            <a:spcAft>
              <a:spcPts val="0"/>
            </a:spcAft>
            <a:buClrTx/>
            <a:buSzTx/>
            <a:buFontTx/>
            <a:buNone/>
            <a:tabLst/>
            <a:defRPr/>
          </a:pPr>
          <a:endParaRPr lang="en-US" sz="1100"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aseline="0"/>
            <a:t>Optionally, you can hide row 14 (which has the dropdown button to filter students) so it will not show when printing.</a:t>
          </a:r>
        </a:p>
        <a:p>
          <a:pPr marL="0" marR="0" indent="0" algn="l" defTabSz="914400" eaLnBrk="1" fontAlgn="auto" latinLnBrk="0" hangingPunct="1">
            <a:lnSpc>
              <a:spcPct val="100000"/>
            </a:lnSpc>
            <a:spcBef>
              <a:spcPts val="0"/>
            </a:spcBef>
            <a:spcAft>
              <a:spcPts val="0"/>
            </a:spcAft>
            <a:buClrTx/>
            <a:buSzTx/>
            <a:buFontTx/>
            <a:buNone/>
            <a:tabLst/>
            <a:defRPr/>
          </a:pPr>
          <a:endParaRPr lang="en-US" sz="1100"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aseline="0"/>
            <a:t>Lastly: Excel tends to not like text in numerical reports. "Excused" assignments might be toublesome on earlier versions of Excel.</a:t>
          </a:r>
        </a:p>
        <a:p>
          <a:pPr algn="l"/>
          <a:endParaRPr lang="en-US" sz="1100" baseline="0"/>
        </a:p>
        <a:p>
          <a:pPr algn="l"/>
          <a:endParaRPr lang="en-US" sz="1100" baseline="0"/>
        </a:p>
        <a:p>
          <a:pPr algn="l"/>
          <a:endParaRPr lang="en-US" sz="1100"/>
        </a:p>
        <a:p>
          <a:pPr algn="l"/>
          <a:endParaRPr lang="en-US" sz="1100"/>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66261</xdr:colOff>
      <xdr:row>12</xdr:row>
      <xdr:rowOff>157370</xdr:rowOff>
    </xdr:from>
    <xdr:to>
      <xdr:col>3</xdr:col>
      <xdr:colOff>1242</xdr:colOff>
      <xdr:row>28</xdr:row>
      <xdr:rowOff>182217</xdr:rowOff>
    </xdr:to>
    <xdr:sp macro="" textlink="">
      <xdr:nvSpPr>
        <xdr:cNvPr id="2" name="Rounded Rectangular Callout 1"/>
        <xdr:cNvSpPr/>
      </xdr:nvSpPr>
      <xdr:spPr>
        <a:xfrm>
          <a:off x="66261" y="3014870"/>
          <a:ext cx="2047046" cy="3072847"/>
        </a:xfrm>
        <a:prstGeom prst="wedgeRoundRectCallout">
          <a:avLst>
            <a:gd name="adj1" fmla="val -32979"/>
            <a:gd name="adj2" fmla="val -55495"/>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US" sz="1100"/>
            <a:t>    Just like the main Data Entry sheet,</a:t>
          </a:r>
          <a:r>
            <a:rPr lang="en-US" sz="1100" baseline="0"/>
            <a:t> enter your student names here. Make sure they match exactly in spelling. Marks of absent and late go into the hidden columns on the main table. (Click the + box above column K to show.) </a:t>
          </a:r>
        </a:p>
        <a:p>
          <a:pPr algn="l"/>
          <a:r>
            <a:rPr lang="en-US" sz="1100" baseline="0"/>
            <a:t>    You could reference it for a participation grade, or make a graph comparing attendance and performance.</a:t>
          </a:r>
          <a:endParaRPr lang="en-US" sz="1100"/>
        </a:p>
      </xdr:txBody>
    </xdr:sp>
    <xdr:clientData/>
  </xdr:twoCellAnchor>
  <xdr:twoCellAnchor>
    <xdr:from>
      <xdr:col>3</xdr:col>
      <xdr:colOff>231914</xdr:colOff>
      <xdr:row>13</xdr:row>
      <xdr:rowOff>41411</xdr:rowOff>
    </xdr:from>
    <xdr:to>
      <xdr:col>12</xdr:col>
      <xdr:colOff>182218</xdr:colOff>
      <xdr:row>17</xdr:row>
      <xdr:rowOff>179293</xdr:rowOff>
    </xdr:to>
    <xdr:sp macro="" textlink="">
      <xdr:nvSpPr>
        <xdr:cNvPr id="3" name="Rounded Rectangular Callout 2"/>
        <xdr:cNvSpPr/>
      </xdr:nvSpPr>
      <xdr:spPr>
        <a:xfrm>
          <a:off x="2349826" y="2954940"/>
          <a:ext cx="2471627" cy="855059"/>
        </a:xfrm>
        <a:prstGeom prst="wedgeRoundRectCallout">
          <a:avLst>
            <a:gd name="adj1" fmla="val -26571"/>
            <a:gd name="adj2" fmla="val -7694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US" sz="1100"/>
            <a:t>Mark a for absent and l for late. One nice feature is that</a:t>
          </a:r>
          <a:r>
            <a:rPr lang="en-US" sz="1100" baseline="0"/>
            <a:t> the column for today's date is highlighted. </a:t>
          </a:r>
          <a:endParaRPr lang="en-US" sz="1100"/>
        </a:p>
      </xdr:txBody>
    </xdr:sp>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jabbott" refreshedDate="41439.633382523149" createdVersion="5" refreshedVersion="5" minRefreshableVersion="3" recordCount="10">
  <cacheSource type="worksheet">
    <worksheetSource name="Trackerdata"/>
  </cacheSource>
  <cacheFields count="49">
    <cacheField name="Class" numFmtId="0">
      <sharedItems containsSemiMixedTypes="0" containsString="0" containsNumber="1" containsInteger="1" minValue="1" maxValue="1" count="1">
        <n v="1"/>
      </sharedItems>
    </cacheField>
    <cacheField name="Name" numFmtId="0">
      <sharedItems count="10">
        <s v="Student 1"/>
        <s v="Student 2"/>
        <s v="Student 3"/>
        <s v="Student 4"/>
        <s v="Student 5"/>
        <s v="Student 6"/>
        <s v="Student 7"/>
        <s v="Student 8"/>
        <s v="Student 9"/>
        <s v="Student 10"/>
      </sharedItems>
    </cacheField>
    <cacheField name="Race" numFmtId="0">
      <sharedItems containsNonDate="0" containsString="0" containsBlank="1"/>
    </cacheField>
    <cacheField name="Gender" numFmtId="0">
      <sharedItems containsNonDate="0" containsString="0" containsBlank="1"/>
    </cacheField>
    <cacheField name="Age" numFmtId="0">
      <sharedItems containsNonDate="0" containsString="0" containsBlank="1"/>
    </cacheField>
    <cacheField name="Repeated Grades" numFmtId="0">
      <sharedItems containsNonDate="0" containsString="0" containsBlank="1"/>
    </cacheField>
    <cacheField name="Financial Status" numFmtId="0">
      <sharedItems containsNonDate="0" containsString="0" containsBlank="1"/>
    </cacheField>
    <cacheField name="Absent" numFmtId="0">
      <sharedItems containsSemiMixedTypes="0" containsString="0" containsNumber="1" containsInteger="1" minValue="0" maxValue="2"/>
    </cacheField>
    <cacheField name="Late" numFmtId="0">
      <sharedItems containsSemiMixedTypes="0" containsString="0" containsNumber="1" containsInteger="1" minValue="0" maxValue="1"/>
    </cacheField>
    <cacheField name="Make your own categories" numFmtId="0">
      <sharedItems containsNonDate="0" containsString="0" containsBlank="1"/>
    </cacheField>
    <cacheField name="Running Average" numFmtId="164">
      <sharedItems containsSemiMixedTypes="0" containsString="0" containsNumber="1" minValue="0" maxValue="100" count="5">
        <n v="93.333333333333329"/>
        <n v="76.666666666666671"/>
        <n v="100"/>
        <n v="96.666666666666671"/>
        <n v="0"/>
      </sharedItems>
      <fieldGroup base="10">
        <rangePr autoStart="0" startNum="60" endNum="100" groupInterval="10"/>
        <groupItems count="6">
          <s v="&lt;60"/>
          <s v="60-70"/>
          <s v="70-80"/>
          <s v="80-90"/>
          <s v="90-100"/>
          <s v="&gt;100"/>
        </groupItems>
      </fieldGroup>
    </cacheField>
    <cacheField name="Total Points" numFmtId="164">
      <sharedItems containsSemiMixedTypes="0" containsString="0" containsNumber="1" containsInteger="1" minValue="0" maxValue="29"/>
    </cacheField>
    <cacheField name="Total Possible Points" numFmtId="164">
      <sharedItems containsSemiMixedTypes="0" containsString="0" containsNumber="1" containsInteger="1" minValue="15" maxValue="30"/>
    </cacheField>
    <cacheField name="Homework" numFmtId="164">
      <sharedItems containsSemiMixedTypes="0" containsString="0" containsNumber="1" minValue="0" maxValue="100"/>
    </cacheField>
    <cacheField name="Classwork" numFmtId="164">
      <sharedItems containsMixedTypes="1" containsNumber="1" minValue="0" maxValue="100"/>
    </cacheField>
    <cacheField name="Test" numFmtId="164">
      <sharedItems/>
    </cacheField>
    <cacheField name="Projects" numFmtId="164">
      <sharedItems/>
    </cacheField>
    <cacheField name="Midterm" numFmtId="164">
      <sharedItems/>
    </cacheField>
    <cacheField name="Create / rename your own categories!" numFmtId="164">
      <sharedItems/>
    </cacheField>
    <cacheField name="Homework 1" numFmtId="0">
      <sharedItems containsString="0" containsBlank="1" containsNumber="1" containsInteger="1" minValue="8" maxValue="10"/>
    </cacheField>
    <cacheField name="Classwork 1" numFmtId="0">
      <sharedItems containsBlank="1" containsMixedTypes="1" containsNumber="1" containsInteger="1" minValue="10" maxValue="15"/>
    </cacheField>
    <cacheField name="Homework 2" numFmtId="0">
      <sharedItems containsString="0" containsBlank="1" containsNumber="1" containsInteger="1" minValue="4" maxValue="5"/>
    </cacheField>
    <cacheField name="Assessment 0" numFmtId="0">
      <sharedItems containsNonDate="0" containsString="0" containsBlank="1"/>
    </cacheField>
    <cacheField name="Assessment 1" numFmtId="0">
      <sharedItems containsNonDate="0" containsString="0" containsBlank="1"/>
    </cacheField>
    <cacheField name="Assessment 2" numFmtId="0">
      <sharedItems containsNonDate="0" containsString="0" containsBlank="1"/>
    </cacheField>
    <cacheField name="Assessment 3" numFmtId="0">
      <sharedItems containsNonDate="0" containsString="0" containsBlank="1"/>
    </cacheField>
    <cacheField name="Assessment 4" numFmtId="0">
      <sharedItems containsNonDate="0" containsString="0" containsBlank="1"/>
    </cacheField>
    <cacheField name="Assessment 5" numFmtId="0">
      <sharedItems containsNonDate="0" containsString="0" containsBlank="1"/>
    </cacheField>
    <cacheField name="Assessment 6" numFmtId="0">
      <sharedItems containsNonDate="0" containsString="0" containsBlank="1"/>
    </cacheField>
    <cacheField name="Assessment 7" numFmtId="0">
      <sharedItems containsNonDate="0" containsString="0" containsBlank="1"/>
    </cacheField>
    <cacheField name="Assessment 8" numFmtId="0">
      <sharedItems containsNonDate="0" containsString="0" containsBlank="1"/>
    </cacheField>
    <cacheField name="Assessment 9" numFmtId="0">
      <sharedItems containsNonDate="0" containsString="0" containsBlank="1"/>
    </cacheField>
    <cacheField name="Assessment 10" numFmtId="0">
      <sharedItems containsNonDate="0" containsString="0" containsBlank="1"/>
    </cacheField>
    <cacheField name="Assessment 11" numFmtId="0">
      <sharedItems containsNonDate="0" containsString="0" containsBlank="1"/>
    </cacheField>
    <cacheField name="Assessment 12" numFmtId="0">
      <sharedItems containsNonDate="0" containsString="0" containsBlank="1"/>
    </cacheField>
    <cacheField name="Assessment 13" numFmtId="0">
      <sharedItems containsNonDate="0" containsString="0" containsBlank="1"/>
    </cacheField>
    <cacheField name="Assessment 14" numFmtId="0">
      <sharedItems containsNonDate="0" containsString="0" containsBlank="1"/>
    </cacheField>
    <cacheField name="Assessment 15" numFmtId="0">
      <sharedItems containsNonDate="0" containsString="0" containsBlank="1"/>
    </cacheField>
    <cacheField name="Assessment 16" numFmtId="0">
      <sharedItems containsNonDate="0" containsString="0" containsBlank="1"/>
    </cacheField>
    <cacheField name="Assessment 17" numFmtId="0">
      <sharedItems containsNonDate="0" containsString="0" containsBlank="1"/>
    </cacheField>
    <cacheField name="Assessment 18" numFmtId="0">
      <sharedItems containsNonDate="0" containsString="0" containsBlank="1"/>
    </cacheField>
    <cacheField name="Assessment 19" numFmtId="0">
      <sharedItems containsNonDate="0" containsString="0" containsBlank="1"/>
    </cacheField>
    <cacheField name="Assessment 20" numFmtId="0">
      <sharedItems containsNonDate="0" containsString="0" containsBlank="1"/>
    </cacheField>
    <cacheField name="Assessment 21" numFmtId="0">
      <sharedItems containsNonDate="0" containsString="0" containsBlank="1"/>
    </cacheField>
    <cacheField name="Assessment 22" numFmtId="0">
      <sharedItems containsNonDate="0" containsString="0" containsBlank="1"/>
    </cacheField>
    <cacheField name="Assessment 23" numFmtId="0">
      <sharedItems containsNonDate="0" containsString="0" containsBlank="1"/>
    </cacheField>
    <cacheField name="Assessment 24" numFmtId="0">
      <sharedItems containsNonDate="0" containsString="0" containsBlank="1"/>
    </cacheField>
    <cacheField name="Assessment 25" numFmtId="0">
      <sharedItems containsNonDate="0" containsString="0" containsBlank="1"/>
    </cacheField>
    <cacheField name="Assessment | Insert new columns before here" numFmtId="0">
      <sharedItems containsNonDate="0" containsString="0" containsBlank="1"/>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istPivotTable" cacheId="21" applyNumberFormats="0" applyBorderFormats="0" applyFontFormats="0" applyPatternFormats="0" applyAlignmentFormats="0" applyWidthHeightFormats="1" dataCaption="Values" errorCaption="None" showError="1" updatedVersion="5" minRefreshableVersion="3" enableDrill="0" useAutoFormatting="1" itemPrintTitles="1" createdVersion="5" indent="0" outline="1" outlineData="1" multipleFieldFilters="0" chartFormat="2">
  <location ref="A3:B9" firstHeaderRow="1" firstDataRow="1" firstDataCol="1"/>
  <pivotFields count="49">
    <pivotField showAll="0">
      <items count="2">
        <item x="0"/>
        <item t="default"/>
      </items>
    </pivotField>
    <pivotField showAll="0"/>
    <pivotField showAll="0"/>
    <pivotField showAll="0"/>
    <pivotField showAll="0"/>
    <pivotField showAll="0"/>
    <pivotField showAll="0"/>
    <pivotField showAll="0" defaultSubtotal="0"/>
    <pivotField showAll="0" defaultSubtotal="0"/>
    <pivotField showAll="0"/>
    <pivotField axis="axisRow" dataField="1" numFmtId="164" defaultSubtotal="0">
      <items count="6">
        <item x="0"/>
        <item x="1"/>
        <item x="2"/>
        <item x="3"/>
        <item x="4"/>
        <item h="1" x="5"/>
      </items>
    </pivotField>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10"/>
  </rowFields>
  <rowItems count="6">
    <i>
      <x/>
    </i>
    <i>
      <x v="1"/>
    </i>
    <i>
      <x v="2"/>
    </i>
    <i>
      <x v="3"/>
    </i>
    <i>
      <x v="4"/>
    </i>
    <i t="grand">
      <x/>
    </i>
  </rowItems>
  <colItems count="1">
    <i/>
  </colItems>
  <dataFields count="1">
    <dataField name="Count of Running Average" fld="10" subtotal="count" baseField="10" baseItem="0"/>
  </dataField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ExplPivotTable" cacheId="21" applyNumberFormats="0" applyBorderFormats="0" applyFontFormats="0" applyPatternFormats="0" applyAlignmentFormats="0" applyWidthHeightFormats="1" dataCaption="Values" errorCaption="None" showError="1" updatedVersion="5" minRefreshableVersion="3" enableDrill="0" useAutoFormatting="1" itemPrintTitles="1" createdVersion="5" indent="0" outline="1" outlineData="1" multipleFieldFilters="0" chartFormat="2">
  <location ref="A3:B5" firstHeaderRow="1" firstDataRow="1" firstDataCol="1"/>
  <pivotFields count="49">
    <pivotField axis="axisRow" showAll="0">
      <items count="2">
        <item x="0"/>
        <item t="default"/>
      </items>
    </pivotField>
    <pivotField showAll="0"/>
    <pivotField showAll="0"/>
    <pivotField showAll="0"/>
    <pivotField showAll="0"/>
    <pivotField showAll="0"/>
    <pivotField showAll="0"/>
    <pivotField showAll="0" defaultSubtotal="0"/>
    <pivotField showAll="0" defaultSubtotal="0"/>
    <pivotField showAll="0"/>
    <pivotField dataField="1" numFmtId="164" showAll="0" defaultSubtotal="0">
      <items count="6">
        <item x="0"/>
        <item x="1"/>
        <item x="2"/>
        <item x="3"/>
        <item x="4"/>
        <item x="5"/>
      </items>
    </pivotField>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0"/>
  </rowFields>
  <rowItems count="2">
    <i>
      <x/>
    </i>
    <i t="grand">
      <x/>
    </i>
  </rowItems>
  <colItems count="1">
    <i/>
  </colItems>
  <dataFields count="1">
    <dataField name="Average of Running Average" fld="10" subtotal="average" baseField="0" baseItem="0"/>
  </dataFields>
  <formats count="1">
    <format dxfId="393">
      <pivotArea outline="0" collapsedLevelsAreSubtotals="1" fieldPosition="0"/>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Print" cacheId="21" dataOnRows="1" applyNumberFormats="0" applyBorderFormats="0" applyFontFormats="0" applyPatternFormats="0" applyAlignmentFormats="0" applyWidthHeightFormats="1" dataCaption="Values" errorCaption="None" showError="1" updatedVersion="5" minRefreshableVersion="3" enableDrill="0" useAutoFormatting="1" rowGrandTotals="0" itemPrintTitles="1" createdVersion="5" indent="0" outline="1" outlineData="1" multipleFieldFilters="0" rowHeaderCaption="">
  <location ref="A14:B64" firstHeaderRow="1" firstDataRow="1" firstDataCol="1"/>
  <pivotFields count="49">
    <pivotField showAll="0"/>
    <pivotField axis="axisRow" showAll="0" insertPageBreak="1">
      <items count="11">
        <item x="0"/>
        <item x="9"/>
        <item x="1"/>
        <item x="2"/>
        <item x="3"/>
        <item x="4"/>
        <item x="5"/>
        <item x="6"/>
        <item x="7"/>
        <item x="8"/>
        <item t="default"/>
      </items>
    </pivotField>
    <pivotField showAll="0"/>
    <pivotField showAll="0"/>
    <pivotField showAll="0"/>
    <pivotField showAll="0"/>
    <pivotField showAll="0"/>
    <pivotField showAll="0" defaultSubtotal="0"/>
    <pivotField showAll="0" defaultSubtotal="0"/>
    <pivotField showAll="0"/>
    <pivotField dataField="1" numFmtId="164" showAll="0" defaultSubtotal="0">
      <items count="6">
        <item x="0"/>
        <item x="1"/>
        <item x="2"/>
        <item x="3"/>
        <item x="4"/>
        <item x="5"/>
      </items>
    </pivotField>
    <pivotField numFmtId="164" showAll="0"/>
    <pivotField numFmtId="164" showAll="0"/>
    <pivotField numFmtId="164"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2">
    <field x="1"/>
    <field x="-2"/>
  </rowFields>
  <rowItems count="50">
    <i>
      <x/>
    </i>
    <i r="1">
      <x/>
    </i>
    <i r="1" i="1">
      <x v="1"/>
    </i>
    <i r="1" i="2">
      <x v="2"/>
    </i>
    <i r="1" i="3">
      <x v="3"/>
    </i>
    <i>
      <x v="1"/>
    </i>
    <i r="1">
      <x/>
    </i>
    <i r="1" i="1">
      <x v="1"/>
    </i>
    <i r="1" i="2">
      <x v="2"/>
    </i>
    <i r="1" i="3">
      <x v="3"/>
    </i>
    <i>
      <x v="2"/>
    </i>
    <i r="1">
      <x/>
    </i>
    <i r="1" i="1">
      <x v="1"/>
    </i>
    <i r="1" i="2">
      <x v="2"/>
    </i>
    <i r="1" i="3">
      <x v="3"/>
    </i>
    <i>
      <x v="3"/>
    </i>
    <i r="1">
      <x/>
    </i>
    <i r="1" i="1">
      <x v="1"/>
    </i>
    <i r="1" i="2">
      <x v="2"/>
    </i>
    <i r="1" i="3">
      <x v="3"/>
    </i>
    <i>
      <x v="4"/>
    </i>
    <i r="1">
      <x/>
    </i>
    <i r="1" i="1">
      <x v="1"/>
    </i>
    <i r="1" i="2">
      <x v="2"/>
    </i>
    <i r="1" i="3">
      <x v="3"/>
    </i>
    <i>
      <x v="5"/>
    </i>
    <i r="1">
      <x/>
    </i>
    <i r="1" i="1">
      <x v="1"/>
    </i>
    <i r="1" i="2">
      <x v="2"/>
    </i>
    <i r="1" i="3">
      <x v="3"/>
    </i>
    <i>
      <x v="6"/>
    </i>
    <i r="1">
      <x/>
    </i>
    <i r="1" i="1">
      <x v="1"/>
    </i>
    <i r="1" i="2">
      <x v="2"/>
    </i>
    <i r="1" i="3">
      <x v="3"/>
    </i>
    <i>
      <x v="7"/>
    </i>
    <i r="1">
      <x/>
    </i>
    <i r="1" i="1">
      <x v="1"/>
    </i>
    <i r="1" i="2">
      <x v="2"/>
    </i>
    <i r="1" i="3">
      <x v="3"/>
    </i>
    <i>
      <x v="8"/>
    </i>
    <i r="1">
      <x/>
    </i>
    <i r="1" i="1">
      <x v="1"/>
    </i>
    <i r="1" i="2">
      <x v="2"/>
    </i>
    <i r="1" i="3">
      <x v="3"/>
    </i>
    <i>
      <x v="9"/>
    </i>
    <i r="1">
      <x/>
    </i>
    <i r="1" i="1">
      <x v="1"/>
    </i>
    <i r="1" i="2">
      <x v="2"/>
    </i>
    <i r="1" i="3">
      <x v="3"/>
    </i>
  </rowItems>
  <colItems count="1">
    <i/>
  </colItems>
  <dataFields count="4">
    <dataField name=" Homework 1" fld="19" subtotal="average" baseField="1" baseItem="0"/>
    <dataField name=" Classwork 1" fld="20" subtotal="average" baseField="1" baseItem="0"/>
    <dataField name=" Homework 2" fld="21" subtotal="average" baseField="1" baseItem="0"/>
    <dataField name=" Running Average" fld="10" subtotal="average" baseField="1" baseItem="0"/>
  </dataFields>
  <formats count="9">
    <format dxfId="392">
      <pivotArea outline="0" collapsedLevelsAreSubtotals="1" fieldPosition="0"/>
    </format>
    <format dxfId="391">
      <pivotArea type="all" dataOnly="0" outline="0" fieldPosition="0"/>
    </format>
    <format dxfId="390">
      <pivotArea outline="0" collapsedLevelsAreSubtotals="1" fieldPosition="0"/>
    </format>
    <format dxfId="389">
      <pivotArea field="1" type="button" dataOnly="0" labelOnly="1" outline="0" axis="axisRow" fieldPosition="0"/>
    </format>
    <format dxfId="388">
      <pivotArea dataOnly="0" labelOnly="1" fieldPosition="0">
        <references count="1">
          <reference field="1" count="0"/>
        </references>
      </pivotArea>
    </format>
    <format dxfId="387">
      <pivotArea field="1" dataOnly="0" labelOnly="1" grandRow="1" outline="0" axis="axisRow" fieldPosition="0">
        <references count="1">
          <reference field="4294967294" count="1" selected="0">
            <x v="1"/>
          </reference>
        </references>
      </pivotArea>
    </format>
    <format dxfId="386">
      <pivotArea dataOnly="0" labelOnly="1" outline="0" fieldPosition="0">
        <references count="2">
          <reference field="4294967294" count="1">
            <x v="1"/>
          </reference>
          <reference field="1" count="1" selected="0">
            <x v="0"/>
          </reference>
        </references>
      </pivotArea>
    </format>
    <format dxfId="385">
      <pivotArea field="1" type="button" dataOnly="0" labelOnly="1" outline="0" axis="axisRow" fieldPosition="0"/>
    </format>
    <format dxfId="384">
      <pivotArea outline="0" collapsedLevelsAreSubtotals="1" fieldPosition="0"/>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Trackerdata" displayName="Trackerdata" ref="A11:AW21" headerRowDxfId="491" dataDxfId="489" totalsRowDxfId="488" headerRowBorderDxfId="490">
  <autoFilter ref="A11:AW21"/>
  <tableColumns count="49">
    <tableColumn id="1" name="Class" totalsRowLabel="1" dataDxfId="487" totalsRowDxfId="486"/>
    <tableColumn id="2" name="Name" totalsRowLabel="Student 9" dataDxfId="485" totalsRowDxfId="484"/>
    <tableColumn id="3" name="Race" dataDxfId="483" totalsRowDxfId="482"/>
    <tableColumn id="4" name="Gender" dataDxfId="481" totalsRowDxfId="480"/>
    <tableColumn id="5" name="Age" dataDxfId="479" totalsRowDxfId="478"/>
    <tableColumn id="6" name="Repeated Grades" dataDxfId="477" totalsRowDxfId="476"/>
    <tableColumn id="7" name="Financial Status" dataDxfId="475" totalsRowDxfId="474"/>
    <tableColumn id="28" name="Absent" dataDxfId="473" totalsRowDxfId="472">
      <calculatedColumnFormula>IFERROR(VLOOKUP(Trackerdata[[#This Row],[Name]],AbsentTardyTable[[Student]:[Lates]],2,FALSE),"No match")</calculatedColumnFormula>
    </tableColumn>
    <tableColumn id="8" name="Late" dataDxfId="471" totalsRowDxfId="470">
      <calculatedColumnFormula>IFERROR(VLOOKUP(Trackerdata[[#This Row],[Name]],AbsentTardyTable[[Student]:[Lates]],3,FALSE),"No match")</calculatedColumnFormula>
    </tableColumn>
    <tableColumn id="237" name="Make your own categories" dataDxfId="469" totalsRowDxfId="468"/>
    <tableColumn id="236" name="Running Average" totalsRowFunction="average" dataDxfId="467" totalsRowDxfId="466" dataCellStyle="Percent">
      <calculatedColumnFormula>IFERROR(Trackerdata[[#This Row],[Total Points]]/Trackerdata[[#This Row],[Total Possible Points]]*100,"")</calculatedColumnFormula>
    </tableColumn>
    <tableColumn id="9" name="Total Points" dataDxfId="465" totalsRowDxfId="464" dataCellStyle="Percent">
      <calculatedColumnFormula>IFERROR(SUMPRODUCT($T12:$AW12,$T$3:$AW$3,--($T12:$AW12&lt;&gt;"Excused")),"")</calculatedColumnFormula>
    </tableColumn>
    <tableColumn id="19" name="Total Possible Points" dataDxfId="463" totalsRowDxfId="462" dataCellStyle="Percent">
      <calculatedColumnFormula>IFERROR(SUMPRODUCT($T$2:$AW$2,$T$3:$AW$3,--($T12:$AW12&lt;&gt;"Excused")),"")</calculatedColumnFormula>
    </tableColumn>
    <tableColumn id="27" name="Homework" dataDxfId="461" totalsRowDxfId="460" dataCellStyle="Percent">
      <calculatedColumnFormula>IFERROR(SUMPRODUCT($T12:$AW12,$T$3:$AW$3,--($T12:$AW12&lt;&gt;"Excused"),--($T$1:$AW$1=N$11))/SUMPRODUCT($T$2:$AW$2,$T$3:$AW$3,--($T12:$AW12&lt;&gt;"Excused"),--($T$1:$AW$1=N$11))*100,"")</calculatedColumnFormula>
    </tableColumn>
    <tableColumn id="42" name="Classwork" dataDxfId="459" totalsRowDxfId="458" dataCellStyle="Percent">
      <calculatedColumnFormula>IFERROR(SUMPRODUCT($T12:$AW12,$T$3:$AW$3,--($T12:$AW12&lt;&gt;"Excused"),--($T$1:$AW$1=O$11))/SUMPRODUCT($T$2:$AW$2,$T$3:$AW$3,--($T12:$AW12&lt;&gt;"Excused"),--($T$1:$AW$1=O$11))*100,"")</calculatedColumnFormula>
    </tableColumn>
    <tableColumn id="233" name="Test" dataDxfId="457" totalsRowDxfId="456" dataCellStyle="Percent">
      <calculatedColumnFormula>IFERROR(SUMPRODUCT($T12:$AW12,$T$3:$AW$3,--($T12:$AW12&lt;&gt;"Excused"),--($T$1:$AW$1=P$11))/SUMPRODUCT($T$2:$AW$2,$T$3:$AW$3,--($T12:$AW12&lt;&gt;"Excused"),--($T$1:$AW$1=P$11))*100,"")</calculatedColumnFormula>
    </tableColumn>
    <tableColumn id="253" name="Projects" dataDxfId="455" totalsRowDxfId="454" dataCellStyle="Percent">
      <calculatedColumnFormula>IFERROR(SUMPRODUCT($T12:$AW12,$T$3:$AW$3,--($T12:$AW12&lt;&gt;"Excused"),--($T$1:$AW$1=Q$11))/SUMPRODUCT($T$2:$AW$2,$T$3:$AW$3,--($T12:$AW12&lt;&gt;"Excused"),--($T$1:$AW$1=Q$11))*100,"")</calculatedColumnFormula>
    </tableColumn>
    <tableColumn id="252" name="Midterm" dataDxfId="453" totalsRowDxfId="452" dataCellStyle="Percent">
      <calculatedColumnFormula>IFERROR(SUMPRODUCT($T12:$AW12,$T$3:$AW$3,--($T12:$AW12&lt;&gt;"Excused"),--($T$1:$AW$1=R$11))/SUMPRODUCT($T$2:$AW$2,$T$3:$AW$3,--($T12:$AW12&lt;&gt;"Excused"),--($T$1:$AW$1=R$11))*100,"")</calculatedColumnFormula>
    </tableColumn>
    <tableColumn id="251" name="Create / rename your own categories!" dataDxfId="451" totalsRowDxfId="450" dataCellStyle="Percent">
      <calculatedColumnFormula>IFERROR(SUMPRODUCT($T12:$AW12,$T$3:$AW$3,--($T12:$AW12&lt;&gt;"Excused"),--($T$1:$AW$1=S$11))/SUMPRODUCT($T$2:$AW$2,$T$3:$AW$3,--($T12:$AW12&lt;&gt;"Excused"),--($T$1:$AW$1=S$11))*100,"")</calculatedColumnFormula>
    </tableColumn>
    <tableColumn id="10" name="Homework 1" dataDxfId="449" dataCellStyle="Percent"/>
    <tableColumn id="11" name="Classwork 1" dataDxfId="448" dataCellStyle="Percent"/>
    <tableColumn id="244" name="Homework 2" dataDxfId="447"/>
    <tableColumn id="245" name="Assessment 0" dataDxfId="446"/>
    <tableColumn id="12" name="Assessment 1" dataDxfId="445" totalsRowDxfId="444" dataCellStyle="Percent"/>
    <tableColumn id="13" name="Assessment 2" dataDxfId="443" totalsRowDxfId="442" dataCellStyle="Percent"/>
    <tableColumn id="246" name="Assessment 3" dataDxfId="441" totalsRowDxfId="440"/>
    <tableColumn id="247" name="Assessment 4" dataDxfId="439" totalsRowDxfId="438"/>
    <tableColumn id="14" name="Assessment 5" dataDxfId="437" totalsRowDxfId="436" dataCellStyle="Percent"/>
    <tableColumn id="15" name="Assessment 6" dataDxfId="435" totalsRowDxfId="434" dataCellStyle="Percent"/>
    <tableColumn id="16" name="Assessment 7" dataDxfId="433" totalsRowDxfId="432" dataCellStyle="Percent"/>
    <tableColumn id="17" name="Assessment 8" dataDxfId="431" totalsRowDxfId="430" dataCellStyle="Percent"/>
    <tableColumn id="18" name="Assessment 9" dataDxfId="429" totalsRowDxfId="428" dataCellStyle="Percent"/>
    <tableColumn id="30" name="Assessment 10" dataDxfId="427" totalsRowDxfId="426" dataCellStyle="Percent"/>
    <tableColumn id="41" name="Assessment 11" dataDxfId="425" totalsRowDxfId="424" dataCellStyle="Percent"/>
    <tableColumn id="43" name="Assessment 12" dataDxfId="423" totalsRowDxfId="422" dataCellStyle="Percent"/>
    <tableColumn id="44" name="Assessment 13" dataDxfId="421" totalsRowDxfId="420" dataCellStyle="Percent"/>
    <tableColumn id="45" name="Assessment 14" dataDxfId="419" totalsRowDxfId="418" dataCellStyle="Percent"/>
    <tableColumn id="46" name="Assessment 15" dataDxfId="417" totalsRowDxfId="416" dataCellStyle="Percent"/>
    <tableColumn id="47" name="Assessment 16" dataDxfId="415" totalsRowDxfId="414" dataCellStyle="Percent"/>
    <tableColumn id="48" name="Assessment 17" dataDxfId="413" totalsRowDxfId="412" dataCellStyle="Percent"/>
    <tableColumn id="49" name="Assessment 18" dataDxfId="411" totalsRowDxfId="410" dataCellStyle="Percent"/>
    <tableColumn id="50" name="Assessment 19" dataDxfId="409" totalsRowDxfId="408" dataCellStyle="Percent"/>
    <tableColumn id="51" name="Assessment 20" dataDxfId="407" totalsRowDxfId="406" dataCellStyle="Percent"/>
    <tableColumn id="52" name="Assessment 21" dataDxfId="405" totalsRowDxfId="404" dataCellStyle="Percent"/>
    <tableColumn id="53" name="Assessment 22" dataDxfId="403" totalsRowDxfId="402" dataCellStyle="Percent"/>
    <tableColumn id="54" name="Assessment 23" dataDxfId="401" totalsRowDxfId="400" dataCellStyle="Percent"/>
    <tableColumn id="55" name="Assessment 24" dataDxfId="399" totalsRowDxfId="398" dataCellStyle="Percent"/>
    <tableColumn id="56" name="Assessment 25" dataDxfId="397" totalsRowDxfId="396" dataCellStyle="Percent"/>
    <tableColumn id="57" name="Assessment | Insert new columns before here" dataDxfId="395" totalsRowDxfId="394" dataCellStyle="Percent"/>
  </tableColumns>
  <tableStyleInfo name="Table Style Custom 2" showFirstColumn="0" showLastColumn="0" showRowStripes="1" showColumnStripes="0"/>
</table>
</file>

<file path=xl/tables/table2.xml><?xml version="1.0" encoding="utf-8"?>
<table xmlns="http://schemas.openxmlformats.org/spreadsheetml/2006/main" id="1" name="AbsentTardyTable" displayName="AbsentTardyTable" ref="A1:ND11" totalsRowShown="0" headerRowDxfId="383" dataDxfId="381" headerRowBorderDxfId="382" tableBorderDxfId="380" totalsRowBorderDxfId="379">
  <autoFilter ref="A1:ND11"/>
  <tableColumns count="368">
    <tableColumn id="1" name="Student" dataDxfId="378"/>
    <tableColumn id="2" name="Absences" dataDxfId="377">
      <calculatedColumnFormula>COUNTIF($D2:$ND2,"A")</calculatedColumnFormula>
    </tableColumn>
    <tableColumn id="3" name="Lates" dataDxfId="376">
      <calculatedColumnFormula>COUNTIF($D2:$ND2,"L")</calculatedColumnFormula>
    </tableColumn>
    <tableColumn id="4" name="25-Aug" dataDxfId="375"/>
    <tableColumn id="5" name="26-Aug" dataDxfId="374"/>
    <tableColumn id="6" name="27-Aug" dataDxfId="373"/>
    <tableColumn id="7" name="28-Aug" dataDxfId="372"/>
    <tableColumn id="8" name="29-Aug" dataDxfId="371"/>
    <tableColumn id="9" name="30-Aug" dataDxfId="370"/>
    <tableColumn id="10" name="31-Aug" dataDxfId="369"/>
    <tableColumn id="11" name="1-Sep" dataDxfId="368"/>
    <tableColumn id="12" name="2-Sep" dataDxfId="367"/>
    <tableColumn id="13" name="3-Sep" dataDxfId="366"/>
    <tableColumn id="14" name="4-Sep" dataDxfId="365"/>
    <tableColumn id="15" name="5-Sep" dataDxfId="364"/>
    <tableColumn id="16" name="6-Sep" dataDxfId="363"/>
    <tableColumn id="17" name="7-Sep" dataDxfId="362"/>
    <tableColumn id="18" name="8-Sep" dataDxfId="361"/>
    <tableColumn id="19" name="9-Sep" dataDxfId="360"/>
    <tableColumn id="20" name="10-Sep" dataDxfId="359"/>
    <tableColumn id="21" name="11-Sep" dataDxfId="358"/>
    <tableColumn id="22" name="12-Sep" dataDxfId="357"/>
    <tableColumn id="23" name="13-Sep" dataDxfId="356"/>
    <tableColumn id="24" name="14-Sep" dataDxfId="355"/>
    <tableColumn id="25" name="15-Sep" dataDxfId="354"/>
    <tableColumn id="26" name="16-Sep" dataDxfId="353"/>
    <tableColumn id="27" name="17-Sep" dataDxfId="352"/>
    <tableColumn id="28" name="18-Sep" dataDxfId="351"/>
    <tableColumn id="29" name="19-Sep" dataDxfId="350"/>
    <tableColumn id="30" name="20-Sep" dataDxfId="349"/>
    <tableColumn id="31" name="21-Sep" dataDxfId="348"/>
    <tableColumn id="32" name="22-Sep" dataDxfId="347"/>
    <tableColumn id="33" name="23-Sep" dataDxfId="346"/>
    <tableColumn id="34" name="24-Sep" dataDxfId="345"/>
    <tableColumn id="35" name="25-Sep" dataDxfId="344"/>
    <tableColumn id="36" name="26-Sep" dataDxfId="343"/>
    <tableColumn id="37" name="27-Sep" dataDxfId="342"/>
    <tableColumn id="38" name="28-Sep" dataDxfId="341"/>
    <tableColumn id="39" name="29-Sep" dataDxfId="340"/>
    <tableColumn id="40" name="30-Sep" dataDxfId="339"/>
    <tableColumn id="41" name="1-Oct" dataDxfId="338"/>
    <tableColumn id="42" name="2-Oct" dataDxfId="337"/>
    <tableColumn id="43" name="3-Oct" dataDxfId="336"/>
    <tableColumn id="44" name="4-Oct" dataDxfId="335"/>
    <tableColumn id="45" name="5-Oct" dataDxfId="334"/>
    <tableColumn id="46" name="6-Oct" dataDxfId="333"/>
    <tableColumn id="47" name="7-Oct" dataDxfId="332"/>
    <tableColumn id="48" name="8-Oct" dataDxfId="331"/>
    <tableColumn id="49" name="9-Oct" dataDxfId="330"/>
    <tableColumn id="50" name="10-Oct" dataDxfId="329"/>
    <tableColumn id="51" name="11-Oct" dataDxfId="328"/>
    <tableColumn id="52" name="12-Oct" dataDxfId="327"/>
    <tableColumn id="53" name="13-Oct" dataDxfId="326"/>
    <tableColumn id="54" name="14-Oct" dataDxfId="325"/>
    <tableColumn id="55" name="15-Oct" dataDxfId="324"/>
    <tableColumn id="56" name="16-Oct" dataDxfId="323"/>
    <tableColumn id="57" name="17-Oct" dataDxfId="322"/>
    <tableColumn id="58" name="18-Oct" dataDxfId="321"/>
    <tableColumn id="59" name="19-Oct" dataDxfId="320"/>
    <tableColumn id="60" name="20-Oct" dataDxfId="319"/>
    <tableColumn id="61" name="21-Oct" dataDxfId="318"/>
    <tableColumn id="62" name="22-Oct" dataDxfId="317"/>
    <tableColumn id="63" name="23-Oct" dataDxfId="316"/>
    <tableColumn id="64" name="24-Oct" dataDxfId="315"/>
    <tableColumn id="65" name="25-Oct" dataDxfId="314"/>
    <tableColumn id="66" name="26-Oct" dataDxfId="313"/>
    <tableColumn id="67" name="27-Oct" dataDxfId="312"/>
    <tableColumn id="68" name="28-Oct" dataDxfId="311"/>
    <tableColumn id="69" name="29-Oct" dataDxfId="310"/>
    <tableColumn id="70" name="30-Oct" dataDxfId="309"/>
    <tableColumn id="71" name="31-Oct" dataDxfId="308"/>
    <tableColumn id="72" name="1-Nov" dataDxfId="307"/>
    <tableColumn id="73" name="2-Nov" dataDxfId="306"/>
    <tableColumn id="74" name="3-Nov" dataDxfId="305"/>
    <tableColumn id="75" name="4-Nov" dataDxfId="304"/>
    <tableColumn id="76" name="5-Nov" dataDxfId="303"/>
    <tableColumn id="77" name="6-Nov" dataDxfId="302"/>
    <tableColumn id="78" name="7-Nov" dataDxfId="301"/>
    <tableColumn id="79" name="8-Nov" dataDxfId="300"/>
    <tableColumn id="80" name="9-Nov" dataDxfId="299"/>
    <tableColumn id="81" name="10-Nov" dataDxfId="298"/>
    <tableColumn id="82" name="11-Nov" dataDxfId="297"/>
    <tableColumn id="83" name="12-Nov" dataDxfId="296"/>
    <tableColumn id="84" name="13-Nov" dataDxfId="295"/>
    <tableColumn id="85" name="14-Nov" dataDxfId="294"/>
    <tableColumn id="86" name="15-Nov" dataDxfId="293"/>
    <tableColumn id="87" name="16-Nov" dataDxfId="292"/>
    <tableColumn id="88" name="17-Nov" dataDxfId="291"/>
    <tableColumn id="89" name="18-Nov" dataDxfId="290"/>
    <tableColumn id="90" name="19-Nov" dataDxfId="289"/>
    <tableColumn id="91" name="20-Nov" dataDxfId="288"/>
    <tableColumn id="92" name="21-Nov" dataDxfId="287"/>
    <tableColumn id="93" name="22-Nov" dataDxfId="286"/>
    <tableColumn id="94" name="23-Nov" dataDxfId="285"/>
    <tableColumn id="95" name="24-Nov" dataDxfId="284"/>
    <tableColumn id="96" name="25-Nov" dataDxfId="283"/>
    <tableColumn id="97" name="26-Nov" dataDxfId="282"/>
    <tableColumn id="98" name="27-Nov" dataDxfId="281"/>
    <tableColumn id="99" name="28-Nov" dataDxfId="280"/>
    <tableColumn id="100" name="29-Nov" dataDxfId="279"/>
    <tableColumn id="101" name="30-Nov" dataDxfId="278"/>
    <tableColumn id="102" name="1-Dec" dataDxfId="277"/>
    <tableColumn id="103" name="2-Dec" dataDxfId="276"/>
    <tableColumn id="104" name="3-Dec" dataDxfId="275"/>
    <tableColumn id="105" name="4-Dec" dataDxfId="274"/>
    <tableColumn id="106" name="5-Dec" dataDxfId="273"/>
    <tableColumn id="107" name="6-Dec" dataDxfId="272"/>
    <tableColumn id="108" name="7-Dec" dataDxfId="271"/>
    <tableColumn id="109" name="8-Dec" dataDxfId="270"/>
    <tableColumn id="110" name="9-Dec" dataDxfId="269"/>
    <tableColumn id="111" name="10-Dec" dataDxfId="268"/>
    <tableColumn id="112" name="11-Dec" dataDxfId="267"/>
    <tableColumn id="113" name="12-Dec" dataDxfId="266"/>
    <tableColumn id="114" name="13-Dec" dataDxfId="265"/>
    <tableColumn id="115" name="14-Dec" dataDxfId="264"/>
    <tableColumn id="116" name="15-Dec" dataDxfId="263"/>
    <tableColumn id="117" name="16-Dec" dataDxfId="262"/>
    <tableColumn id="118" name="17-Dec" dataDxfId="261"/>
    <tableColumn id="119" name="18-Dec" dataDxfId="260"/>
    <tableColumn id="120" name="19-Dec" dataDxfId="259"/>
    <tableColumn id="121" name="20-Dec" dataDxfId="258"/>
    <tableColumn id="122" name="21-Dec" dataDxfId="257"/>
    <tableColumn id="123" name="22-Dec" dataDxfId="256"/>
    <tableColumn id="124" name="23-Dec" dataDxfId="255"/>
    <tableColumn id="125" name="24-Dec" dataDxfId="254"/>
    <tableColumn id="126" name="25-Dec" dataDxfId="253"/>
    <tableColumn id="127" name="26-Dec" dataDxfId="252"/>
    <tableColumn id="128" name="27-Dec" dataDxfId="251"/>
    <tableColumn id="129" name="28-Dec" dataDxfId="250"/>
    <tableColumn id="130" name="29-Dec" dataDxfId="249"/>
    <tableColumn id="131" name="30-Dec" dataDxfId="248"/>
    <tableColumn id="132" name="31-Dec" dataDxfId="247"/>
    <tableColumn id="133" name="1-Jan" dataDxfId="246"/>
    <tableColumn id="134" name="2-Jan" dataDxfId="245"/>
    <tableColumn id="135" name="3-Jan" dataDxfId="244"/>
    <tableColumn id="136" name="4-Jan" dataDxfId="243"/>
    <tableColumn id="137" name="5-Jan" dataDxfId="242"/>
    <tableColumn id="138" name="6-Jan" dataDxfId="241"/>
    <tableColumn id="139" name="7-Jan" dataDxfId="240"/>
    <tableColumn id="140" name="8-Jan" dataDxfId="239"/>
    <tableColumn id="141" name="9-Jan" dataDxfId="238"/>
    <tableColumn id="142" name="10-Jan" dataDxfId="237"/>
    <tableColumn id="143" name="11-Jan" dataDxfId="236"/>
    <tableColumn id="144" name="12-Jan" dataDxfId="235"/>
    <tableColumn id="145" name="13-Jan" dataDxfId="234"/>
    <tableColumn id="146" name="14-Jan" dataDxfId="233"/>
    <tableColumn id="147" name="15-Jan" dataDxfId="232"/>
    <tableColumn id="148" name="16-Jan" dataDxfId="231"/>
    <tableColumn id="149" name="17-Jan" dataDxfId="230"/>
    <tableColumn id="150" name="18-Jan" dataDxfId="229"/>
    <tableColumn id="151" name="19-Jan" dataDxfId="228"/>
    <tableColumn id="152" name="20-Jan" dataDxfId="227"/>
    <tableColumn id="153" name="21-Jan" dataDxfId="226"/>
    <tableColumn id="154" name="22-Jan" dataDxfId="225"/>
    <tableColumn id="155" name="23-Jan" dataDxfId="224"/>
    <tableColumn id="156" name="24-Jan" dataDxfId="223"/>
    <tableColumn id="157" name="25-Jan" dataDxfId="222"/>
    <tableColumn id="158" name="26-Jan" dataDxfId="221"/>
    <tableColumn id="159" name="27-Jan" dataDxfId="220"/>
    <tableColumn id="160" name="28-Jan" dataDxfId="219"/>
    <tableColumn id="161" name="29-Jan" dataDxfId="218"/>
    <tableColumn id="162" name="30-Jan" dataDxfId="217"/>
    <tableColumn id="163" name="31-Jan" dataDxfId="216"/>
    <tableColumn id="164" name="1-Feb" dataDxfId="215"/>
    <tableColumn id="165" name="2-Feb" dataDxfId="214"/>
    <tableColumn id="166" name="3-Feb" dataDxfId="213"/>
    <tableColumn id="167" name="4-Feb" dataDxfId="212"/>
    <tableColumn id="168" name="5-Feb" dataDxfId="211"/>
    <tableColumn id="169" name="6-Feb" dataDxfId="210"/>
    <tableColumn id="170" name="7-Feb" dataDxfId="209"/>
    <tableColumn id="171" name="8-Feb" dataDxfId="208"/>
    <tableColumn id="172" name="9-Feb" dataDxfId="207"/>
    <tableColumn id="173" name="10-Feb" dataDxfId="206"/>
    <tableColumn id="174" name="11-Feb" dataDxfId="205"/>
    <tableColumn id="175" name="12-Feb" dataDxfId="204"/>
    <tableColumn id="176" name="13-Feb" dataDxfId="203"/>
    <tableColumn id="177" name="14-Feb" dataDxfId="202"/>
    <tableColumn id="178" name="15-Feb" dataDxfId="201"/>
    <tableColumn id="179" name="16-Feb" dataDxfId="200"/>
    <tableColumn id="180" name="17-Feb" dataDxfId="199"/>
    <tableColumn id="181" name="18-Feb" dataDxfId="198"/>
    <tableColumn id="182" name="19-Feb" dataDxfId="197"/>
    <tableColumn id="183" name="20-Feb" dataDxfId="196"/>
    <tableColumn id="184" name="21-Feb" dataDxfId="195"/>
    <tableColumn id="185" name="22-Feb" dataDxfId="194"/>
    <tableColumn id="186" name="23-Feb" dataDxfId="193"/>
    <tableColumn id="187" name="24-Feb" dataDxfId="192"/>
    <tableColumn id="188" name="25-Feb" dataDxfId="191"/>
    <tableColumn id="189" name="26-Feb" dataDxfId="190"/>
    <tableColumn id="190" name="27-Feb" dataDxfId="189"/>
    <tableColumn id="191" name="28-Feb" dataDxfId="188"/>
    <tableColumn id="192" name="1-Mar" dataDxfId="187"/>
    <tableColumn id="193" name="2-Mar" dataDxfId="186"/>
    <tableColumn id="194" name="3-Mar" dataDxfId="185"/>
    <tableColumn id="195" name="4-Mar" dataDxfId="184"/>
    <tableColumn id="196" name="5-Mar" dataDxfId="183"/>
    <tableColumn id="197" name="6-Mar" dataDxfId="182"/>
    <tableColumn id="198" name="7-Mar" dataDxfId="181"/>
    <tableColumn id="199" name="8-Mar" dataDxfId="180"/>
    <tableColumn id="200" name="9-Mar" dataDxfId="179"/>
    <tableColumn id="201" name="10-Mar" dataDxfId="178"/>
    <tableColumn id="202" name="11-Mar" dataDxfId="177"/>
    <tableColumn id="203" name="12-Mar" dataDxfId="176"/>
    <tableColumn id="204" name="13-Mar" dataDxfId="175"/>
    <tableColumn id="205" name="14-Mar" dataDxfId="174"/>
    <tableColumn id="206" name="15-Mar" dataDxfId="173"/>
    <tableColumn id="207" name="16-Mar" dataDxfId="172"/>
    <tableColumn id="208" name="17-Mar" dataDxfId="171"/>
    <tableColumn id="209" name="18-Mar" dataDxfId="170"/>
    <tableColumn id="210" name="19-Mar" dataDxfId="169"/>
    <tableColumn id="211" name="20-Mar" dataDxfId="168"/>
    <tableColumn id="212" name="21-Mar" dataDxfId="167"/>
    <tableColumn id="213" name="22-Mar" dataDxfId="166"/>
    <tableColumn id="214" name="23-Mar" dataDxfId="165"/>
    <tableColumn id="215" name="24-Mar" dataDxfId="164"/>
    <tableColumn id="216" name="25-Mar" dataDxfId="163"/>
    <tableColumn id="217" name="26-Mar" dataDxfId="162"/>
    <tableColumn id="218" name="27-Mar" dataDxfId="161"/>
    <tableColumn id="219" name="28-Mar" dataDxfId="160"/>
    <tableColumn id="220" name="29-Mar" dataDxfId="159"/>
    <tableColumn id="221" name="30-Mar" dataDxfId="158"/>
    <tableColumn id="222" name="31-Mar" dataDxfId="157"/>
    <tableColumn id="223" name="1-Apr" dataDxfId="156"/>
    <tableColumn id="224" name="2-Apr" dataDxfId="155"/>
    <tableColumn id="225" name="3-Apr" dataDxfId="154"/>
    <tableColumn id="226" name="4-Apr" dataDxfId="153"/>
    <tableColumn id="227" name="5-Apr" dataDxfId="152"/>
    <tableColumn id="228" name="6-Apr" dataDxfId="151"/>
    <tableColumn id="229" name="7-Apr" dataDxfId="150"/>
    <tableColumn id="230" name="8-Apr" dataDxfId="149"/>
    <tableColumn id="231" name="9-Apr" dataDxfId="148"/>
    <tableColumn id="232" name="10-Apr" dataDxfId="147"/>
    <tableColumn id="233" name="11-Apr" dataDxfId="146"/>
    <tableColumn id="234" name="12-Apr" dataDxfId="145"/>
    <tableColumn id="235" name="13-Apr" dataDxfId="144"/>
    <tableColumn id="236" name="14-Apr" dataDxfId="143"/>
    <tableColumn id="237" name="15-Apr" dataDxfId="142"/>
    <tableColumn id="238" name="16-Apr" dataDxfId="141"/>
    <tableColumn id="239" name="17-Apr" dataDxfId="140"/>
    <tableColumn id="240" name="18-Apr" dataDxfId="139"/>
    <tableColumn id="241" name="19-Apr" dataDxfId="138"/>
    <tableColumn id="242" name="20-Apr" dataDxfId="137"/>
    <tableColumn id="243" name="21-Apr" dataDxfId="136"/>
    <tableColumn id="244" name="22-Apr" dataDxfId="135"/>
    <tableColumn id="245" name="23-Apr" dataDxfId="134"/>
    <tableColumn id="246" name="24-Apr" dataDxfId="133"/>
    <tableColumn id="247" name="25-Apr" dataDxfId="132"/>
    <tableColumn id="248" name="26-Apr" dataDxfId="131"/>
    <tableColumn id="249" name="27-Apr" dataDxfId="130"/>
    <tableColumn id="250" name="28-Apr" dataDxfId="129"/>
    <tableColumn id="251" name="29-Apr" dataDxfId="128"/>
    <tableColumn id="252" name="30-Apr" dataDxfId="127"/>
    <tableColumn id="253" name="1-May" dataDxfId="126"/>
    <tableColumn id="254" name="2-May" dataDxfId="125"/>
    <tableColumn id="255" name="3-May" dataDxfId="124"/>
    <tableColumn id="256" name="4-May" dataDxfId="123"/>
    <tableColumn id="257" name="5-May" dataDxfId="122"/>
    <tableColumn id="258" name="6-May" dataDxfId="121"/>
    <tableColumn id="259" name="7-May" dataDxfId="120"/>
    <tableColumn id="260" name="8-May" dataDxfId="119"/>
    <tableColumn id="261" name="9-May" dataDxfId="118"/>
    <tableColumn id="262" name="10-May" dataDxfId="117"/>
    <tableColumn id="263" name="11-May" dataDxfId="116"/>
    <tableColumn id="264" name="12-May" dataDxfId="115"/>
    <tableColumn id="265" name="13-May" dataDxfId="114"/>
    <tableColumn id="266" name="14-May" dataDxfId="113"/>
    <tableColumn id="267" name="15-May" dataDxfId="112"/>
    <tableColumn id="268" name="16-May" dataDxfId="111"/>
    <tableColumn id="269" name="17-May" dataDxfId="110"/>
    <tableColumn id="270" name="18-May" dataDxfId="109"/>
    <tableColumn id="271" name="19-May" dataDxfId="108"/>
    <tableColumn id="272" name="20-May" dataDxfId="107"/>
    <tableColumn id="273" name="21-May" dataDxfId="106"/>
    <tableColumn id="274" name="22-May" dataDxfId="105"/>
    <tableColumn id="275" name="23-May" dataDxfId="104"/>
    <tableColumn id="276" name="24-May" dataDxfId="103"/>
    <tableColumn id="277" name="25-May" dataDxfId="102"/>
    <tableColumn id="278" name="26-May" dataDxfId="101"/>
    <tableColumn id="279" name="27-May" dataDxfId="100"/>
    <tableColumn id="280" name="28-May" dataDxfId="99"/>
    <tableColumn id="281" name="29-May" dataDxfId="98"/>
    <tableColumn id="282" name="30-May" dataDxfId="97"/>
    <tableColumn id="283" name="31-May" dataDxfId="96"/>
    <tableColumn id="284" name="1-Jun" dataDxfId="95"/>
    <tableColumn id="285" name="2-Jun" dataDxfId="94"/>
    <tableColumn id="286" name="3-Jun" dataDxfId="93"/>
    <tableColumn id="287" name="4-Jun" dataDxfId="92"/>
    <tableColumn id="288" name="5-Jun" dataDxfId="91"/>
    <tableColumn id="289" name="6-Jun" dataDxfId="90"/>
    <tableColumn id="290" name="7-Jun" dataDxfId="89"/>
    <tableColumn id="291" name="8-Jun" dataDxfId="88"/>
    <tableColumn id="292" name="9-Jun" dataDxfId="87"/>
    <tableColumn id="293" name="10-Jun" dataDxfId="86"/>
    <tableColumn id="294" name="11-Jun" dataDxfId="85"/>
    <tableColumn id="295" name="12-Jun" dataDxfId="84"/>
    <tableColumn id="296" name="13-Jun" dataDxfId="83"/>
    <tableColumn id="297" name="14-Jun" dataDxfId="82"/>
    <tableColumn id="298" name="15-Jun" dataDxfId="81"/>
    <tableColumn id="299" name="16-Jun" dataDxfId="80"/>
    <tableColumn id="300" name="17-Jun" dataDxfId="79"/>
    <tableColumn id="301" name="18-Jun" dataDxfId="78"/>
    <tableColumn id="302" name="19-Jun" dataDxfId="77"/>
    <tableColumn id="303" name="20-Jun" dataDxfId="76"/>
    <tableColumn id="304" name="21-Jun" dataDxfId="75"/>
    <tableColumn id="305" name="22-Jun" dataDxfId="74"/>
    <tableColumn id="306" name="23-Jun" dataDxfId="73"/>
    <tableColumn id="307" name="24-Jun" dataDxfId="72"/>
    <tableColumn id="308" name="25-Jun" dataDxfId="71"/>
    <tableColumn id="309" name="26-Jun" dataDxfId="70"/>
    <tableColumn id="310" name="27-Jun" dataDxfId="69"/>
    <tableColumn id="311" name="28-Jun" dataDxfId="68"/>
    <tableColumn id="312" name="29-Jun" dataDxfId="67"/>
    <tableColumn id="313" name="30-Jun" dataDxfId="66"/>
    <tableColumn id="314" name="1-Jul" dataDxfId="65"/>
    <tableColumn id="315" name="2-Jul" dataDxfId="64"/>
    <tableColumn id="316" name="3-Jul" dataDxfId="63"/>
    <tableColumn id="317" name="4-Jul" dataDxfId="62"/>
    <tableColumn id="318" name="5-Jul" dataDxfId="61"/>
    <tableColumn id="319" name="6-Jul" dataDxfId="60"/>
    <tableColumn id="320" name="7-Jul" dataDxfId="59"/>
    <tableColumn id="321" name="8-Jul" dataDxfId="58"/>
    <tableColumn id="322" name="9-Jul" dataDxfId="57"/>
    <tableColumn id="323" name="10-Jul" dataDxfId="56"/>
    <tableColumn id="324" name="11-Jul" dataDxfId="55"/>
    <tableColumn id="325" name="12-Jul" dataDxfId="54"/>
    <tableColumn id="326" name="13-Jul" dataDxfId="53"/>
    <tableColumn id="327" name="14-Jul" dataDxfId="52"/>
    <tableColumn id="328" name="15-Jul" dataDxfId="51"/>
    <tableColumn id="329" name="16-Jul" dataDxfId="50"/>
    <tableColumn id="330" name="17-Jul" dataDxfId="49"/>
    <tableColumn id="331" name="18-Jul" dataDxfId="48"/>
    <tableColumn id="332" name="19-Jul" dataDxfId="47"/>
    <tableColumn id="333" name="20-Jul" dataDxfId="46"/>
    <tableColumn id="334" name="21-Jul" dataDxfId="45"/>
    <tableColumn id="335" name="22-Jul" dataDxfId="44"/>
    <tableColumn id="336" name="23-Jul" dataDxfId="43"/>
    <tableColumn id="337" name="24-Jul" dataDxfId="42"/>
    <tableColumn id="338" name="25-Jul" dataDxfId="41"/>
    <tableColumn id="339" name="26-Jul" dataDxfId="40"/>
    <tableColumn id="340" name="27-Jul" dataDxfId="39"/>
    <tableColumn id="341" name="28-Jul" dataDxfId="38"/>
    <tableColumn id="342" name="29-Jul" dataDxfId="37"/>
    <tableColumn id="343" name="30-Jul" dataDxfId="36"/>
    <tableColumn id="344" name="31-Jul" dataDxfId="35"/>
    <tableColumn id="345" name="1-Aug" dataDxfId="34"/>
    <tableColumn id="346" name="2-Aug" dataDxfId="33"/>
    <tableColumn id="347" name="3-Aug" dataDxfId="32"/>
    <tableColumn id="348" name="4-Aug" dataDxfId="31"/>
    <tableColumn id="349" name="5-Aug" dataDxfId="30"/>
    <tableColumn id="350" name="6-Aug" dataDxfId="29"/>
    <tableColumn id="351" name="7-Aug" dataDxfId="28"/>
    <tableColumn id="352" name="8-Aug" dataDxfId="27"/>
    <tableColumn id="353" name="9-Aug" dataDxfId="26"/>
    <tableColumn id="354" name="10-Aug" dataDxfId="25"/>
    <tableColumn id="355" name="11-Aug" dataDxfId="24"/>
    <tableColumn id="356" name="12-Aug" dataDxfId="23"/>
    <tableColumn id="357" name="13-Aug" dataDxfId="22"/>
    <tableColumn id="358" name="14-Aug" dataDxfId="21"/>
    <tableColumn id="359" name="15-Aug" dataDxfId="20"/>
    <tableColumn id="360" name="16-Aug" dataDxfId="19"/>
    <tableColumn id="361" name="17-Aug" dataDxfId="18"/>
    <tableColumn id="362" name="18-Aug" dataDxfId="17"/>
    <tableColumn id="363" name="19-Aug" dataDxfId="16"/>
    <tableColumn id="364" name="20-Aug" dataDxfId="15"/>
    <tableColumn id="365" name="21-Aug" dataDxfId="14"/>
    <tableColumn id="366" name="22-Aug" dataDxfId="13"/>
    <tableColumn id="367" name="23-Aug" dataDxfId="12"/>
    <tableColumn id="368" name="24-Aug" dataDxfId="11"/>
  </tableColumns>
  <tableStyleInfo name="AbsencesTableStyle" showFirstColumn="0" showLastColumn="0" showRowStripes="1" showColumnStripes="0"/>
</table>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eb.mit.edu/jabbott/www/excelgradetracker.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X21"/>
  <sheetViews>
    <sheetView tabSelected="1" zoomScaleNormal="100" workbookViewId="0">
      <pane xSplit="13" ySplit="11" topLeftCell="N12" activePane="bottomRight" state="frozen"/>
      <selection pane="topRight" activeCell="N1" sqref="N1"/>
      <selection pane="bottomLeft" activeCell="A6" sqref="A6"/>
      <selection pane="bottomRight" activeCell="T12" sqref="T12"/>
    </sheetView>
  </sheetViews>
  <sheetFormatPr defaultColWidth="8.85546875" defaultRowHeight="14.25" outlineLevelCol="1" x14ac:dyDescent="0.2"/>
  <cols>
    <col min="1" max="1" width="7.5703125" style="51" customWidth="1"/>
    <col min="2" max="2" width="23.28515625" style="51" customWidth="1" collapsed="1"/>
    <col min="3" max="10" width="12.140625" style="51" hidden="1" customWidth="1" outlineLevel="1"/>
    <col min="11" max="11" width="12" style="51" customWidth="1" collapsed="1"/>
    <col min="12" max="13" width="12" style="51" hidden="1" customWidth="1" outlineLevel="1"/>
    <col min="14" max="19" width="11.28515625" style="51" hidden="1" customWidth="1" outlineLevel="1"/>
    <col min="20" max="20" width="11.42578125" style="51" customWidth="1" collapsed="1"/>
    <col min="21" max="49" width="11.42578125" style="51" customWidth="1"/>
    <col min="50" max="50" width="5.42578125" style="51" customWidth="1"/>
    <col min="51" max="16384" width="8.85546875" style="51"/>
  </cols>
  <sheetData>
    <row r="1" spans="1:50" s="7" customFormat="1" x14ac:dyDescent="0.2">
      <c r="A1" s="1"/>
      <c r="B1" s="2" t="s">
        <v>0</v>
      </c>
      <c r="C1" s="3"/>
      <c r="D1" s="3"/>
      <c r="E1" s="3"/>
      <c r="F1" s="3"/>
      <c r="G1" s="3"/>
      <c r="H1" s="3"/>
      <c r="I1" s="3"/>
      <c r="J1" s="3"/>
      <c r="K1" s="4"/>
      <c r="L1" s="4"/>
      <c r="M1" s="4"/>
      <c r="N1" s="4"/>
      <c r="O1" s="4"/>
      <c r="P1" s="4"/>
      <c r="Q1" s="4"/>
      <c r="R1" s="4"/>
      <c r="S1" s="5"/>
      <c r="T1" s="6" t="s">
        <v>1</v>
      </c>
      <c r="U1" s="6" t="s">
        <v>2</v>
      </c>
      <c r="V1" s="6" t="s">
        <v>1</v>
      </c>
      <c r="W1" s="6"/>
      <c r="X1" s="6"/>
      <c r="Y1" s="6"/>
      <c r="Z1" s="6"/>
      <c r="AA1" s="6"/>
      <c r="AB1" s="6"/>
      <c r="AC1" s="6"/>
      <c r="AD1" s="6"/>
      <c r="AE1" s="6"/>
      <c r="AF1" s="6"/>
      <c r="AG1" s="6"/>
      <c r="AH1" s="6"/>
      <c r="AI1" s="6"/>
      <c r="AJ1" s="6"/>
      <c r="AK1" s="6"/>
      <c r="AL1" s="6"/>
      <c r="AM1" s="4"/>
      <c r="AN1" s="4"/>
      <c r="AO1" s="4"/>
      <c r="AP1" s="4"/>
      <c r="AQ1" s="4"/>
      <c r="AR1" s="4"/>
      <c r="AS1" s="4"/>
      <c r="AT1" s="4"/>
      <c r="AU1" s="4"/>
      <c r="AV1" s="4"/>
      <c r="AW1" s="4"/>
      <c r="AX1" s="112"/>
    </row>
    <row r="2" spans="1:50" s="7" customFormat="1" x14ac:dyDescent="0.2">
      <c r="A2" s="8"/>
      <c r="B2" s="9" t="s">
        <v>3</v>
      </c>
      <c r="C2" s="10"/>
      <c r="D2" s="10"/>
      <c r="E2" s="10"/>
      <c r="F2" s="10"/>
      <c r="G2" s="10"/>
      <c r="H2" s="10"/>
      <c r="I2" s="10"/>
      <c r="J2" s="10"/>
      <c r="K2" s="110">
        <v>100</v>
      </c>
      <c r="L2" s="110">
        <v>100</v>
      </c>
      <c r="M2" s="110">
        <v>100</v>
      </c>
      <c r="N2" s="110">
        <v>100</v>
      </c>
      <c r="O2" s="110">
        <v>100</v>
      </c>
      <c r="P2" s="110">
        <v>100</v>
      </c>
      <c r="Q2" s="110">
        <v>100</v>
      </c>
      <c r="R2" s="110">
        <v>100</v>
      </c>
      <c r="S2" s="119">
        <v>100</v>
      </c>
      <c r="T2" s="11">
        <v>10</v>
      </c>
      <c r="U2" s="11">
        <v>15</v>
      </c>
      <c r="V2" s="11">
        <v>5</v>
      </c>
      <c r="W2" s="11"/>
      <c r="X2" s="11"/>
      <c r="Y2" s="11"/>
      <c r="Z2" s="11"/>
      <c r="AA2" s="11"/>
      <c r="AB2" s="11"/>
      <c r="AC2" s="11"/>
      <c r="AD2" s="11"/>
      <c r="AE2" s="111"/>
      <c r="AF2" s="111"/>
      <c r="AG2" s="111"/>
      <c r="AH2" s="111"/>
      <c r="AI2" s="111"/>
      <c r="AJ2" s="111"/>
      <c r="AK2" s="111"/>
      <c r="AL2" s="111"/>
      <c r="AM2" s="111"/>
      <c r="AN2" s="111"/>
      <c r="AO2" s="111"/>
      <c r="AP2" s="111"/>
      <c r="AQ2" s="111"/>
      <c r="AR2" s="111"/>
      <c r="AS2" s="111"/>
      <c r="AT2" s="111"/>
      <c r="AU2" s="111"/>
      <c r="AV2" s="111"/>
      <c r="AW2" s="111"/>
      <c r="AX2" s="112"/>
    </row>
    <row r="3" spans="1:50" s="7" customFormat="1" x14ac:dyDescent="0.2">
      <c r="A3" s="12"/>
      <c r="B3" s="9" t="s">
        <v>4</v>
      </c>
      <c r="C3" s="11"/>
      <c r="D3" s="11"/>
      <c r="E3" s="11"/>
      <c r="F3" s="11"/>
      <c r="G3" s="11"/>
      <c r="H3" s="11"/>
      <c r="I3" s="11"/>
      <c r="J3" s="11"/>
      <c r="K3" s="11"/>
      <c r="L3" s="11"/>
      <c r="M3" s="11"/>
      <c r="N3" s="11"/>
      <c r="O3" s="11"/>
      <c r="P3" s="11"/>
      <c r="Q3" s="11"/>
      <c r="R3" s="11"/>
      <c r="S3" s="13"/>
      <c r="T3" s="14">
        <v>1</v>
      </c>
      <c r="U3" s="14">
        <v>1</v>
      </c>
      <c r="V3" s="14">
        <v>1</v>
      </c>
      <c r="W3" s="14"/>
      <c r="X3" s="14">
        <v>1</v>
      </c>
      <c r="Y3" s="14">
        <v>1</v>
      </c>
      <c r="Z3" s="14">
        <v>1</v>
      </c>
      <c r="AA3" s="14">
        <v>1</v>
      </c>
      <c r="AB3" s="14">
        <v>1</v>
      </c>
      <c r="AC3" s="14">
        <v>1</v>
      </c>
      <c r="AD3" s="14">
        <v>1</v>
      </c>
      <c r="AE3" s="14">
        <v>1</v>
      </c>
      <c r="AF3" s="14">
        <v>1</v>
      </c>
      <c r="AG3" s="14">
        <v>1</v>
      </c>
      <c r="AH3" s="14">
        <v>1</v>
      </c>
      <c r="AI3" s="14">
        <v>1</v>
      </c>
      <c r="AJ3" s="14">
        <v>1</v>
      </c>
      <c r="AK3" s="14">
        <v>1</v>
      </c>
      <c r="AL3" s="14">
        <v>1</v>
      </c>
      <c r="AM3" s="14">
        <v>1</v>
      </c>
      <c r="AN3" s="14">
        <v>1</v>
      </c>
      <c r="AO3" s="14">
        <v>1</v>
      </c>
      <c r="AP3" s="14">
        <v>1</v>
      </c>
      <c r="AQ3" s="14">
        <v>1</v>
      </c>
      <c r="AR3" s="14">
        <v>1</v>
      </c>
      <c r="AS3" s="14">
        <v>1</v>
      </c>
      <c r="AT3" s="14">
        <v>1</v>
      </c>
      <c r="AU3" s="14">
        <v>1</v>
      </c>
      <c r="AV3" s="14">
        <v>1</v>
      </c>
      <c r="AW3" s="14">
        <v>1</v>
      </c>
      <c r="AX3" s="112"/>
    </row>
    <row r="4" spans="1:50" s="95" customFormat="1" x14ac:dyDescent="0.2">
      <c r="A4" s="92"/>
      <c r="B4" s="15" t="s">
        <v>471</v>
      </c>
      <c r="C4" s="93"/>
      <c r="D4" s="93"/>
      <c r="E4" s="93"/>
      <c r="F4" s="93"/>
      <c r="G4" s="93"/>
      <c r="H4" s="93"/>
      <c r="I4" s="93"/>
      <c r="J4" s="93"/>
      <c r="K4" s="93"/>
      <c r="L4" s="93"/>
      <c r="M4" s="93"/>
      <c r="N4" s="93"/>
      <c r="O4" s="93"/>
      <c r="P4" s="93"/>
      <c r="Q4" s="93"/>
      <c r="R4" s="93"/>
      <c r="S4" s="94"/>
      <c r="T4" s="96">
        <v>41294</v>
      </c>
      <c r="U4" s="96">
        <v>41299</v>
      </c>
      <c r="V4" s="96">
        <v>41301</v>
      </c>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113"/>
    </row>
    <row r="5" spans="1:50" s="95" customFormat="1" ht="23.25" customHeight="1" x14ac:dyDescent="0.2">
      <c r="A5" s="115"/>
      <c r="B5" s="116"/>
      <c r="C5" s="117"/>
      <c r="D5" s="117"/>
      <c r="E5" s="117"/>
      <c r="F5" s="117"/>
      <c r="G5" s="117"/>
      <c r="H5" s="117"/>
      <c r="I5" s="117"/>
      <c r="J5" s="117"/>
      <c r="K5" s="117"/>
      <c r="L5" s="117"/>
      <c r="M5" s="117"/>
      <c r="N5" s="117"/>
      <c r="O5" s="117"/>
      <c r="P5" s="117"/>
      <c r="Q5" s="117"/>
      <c r="R5" s="117"/>
      <c r="S5" s="117"/>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3"/>
    </row>
    <row r="6" spans="1:50" s="95" customFormat="1" hidden="1" x14ac:dyDescent="0.2">
      <c r="A6" s="114" t="s">
        <v>475</v>
      </c>
      <c r="B6" s="114">
        <v>90</v>
      </c>
      <c r="C6" s="109"/>
      <c r="D6" s="109"/>
      <c r="E6" s="109"/>
      <c r="F6" s="109"/>
      <c r="G6" s="109"/>
      <c r="H6" s="109"/>
      <c r="I6" s="109"/>
      <c r="J6" s="109"/>
      <c r="K6" s="109">
        <f>COUNTIF(Trackerdata[Running Average],"&gt;="&amp;($B6/100)*K$2)</f>
        <v>3</v>
      </c>
      <c r="L6" s="109"/>
      <c r="M6" s="109"/>
      <c r="N6" s="109">
        <f>COUNTIF(Trackerdata[Homework],"&gt;="&amp;($B6/100)*N$2)</f>
        <v>3</v>
      </c>
      <c r="O6" s="109">
        <f>COUNTIF(Trackerdata[Classwork],"&gt;="&amp;($B6/100)*O$2)</f>
        <v>2</v>
      </c>
      <c r="P6" s="109">
        <f>COUNTIF(Trackerdata[Test],"&gt;="&amp;($B6/100)*P$2)</f>
        <v>0</v>
      </c>
      <c r="Q6" s="109">
        <f>COUNTIF(Trackerdata[Projects],"&gt;="&amp;($B6/100)*Q$2)</f>
        <v>0</v>
      </c>
      <c r="R6" s="109">
        <f>COUNTIF(Trackerdata[Midterm],"&gt;="&amp;($B6/100)*R$2)</f>
        <v>0</v>
      </c>
      <c r="S6" s="109">
        <f>COUNTIF(Trackerdata[Create / rename your own categories!],"&gt;="&amp;($B6/100)*S$2)</f>
        <v>0</v>
      </c>
      <c r="T6" s="109">
        <f>COUNTIF(Trackerdata[Homework 1],"&gt;="&amp;($B6/100)*T$2)</f>
        <v>3</v>
      </c>
      <c r="U6" s="109">
        <f>COUNTIF(Trackerdata[Classwork 1],"&gt;="&amp;($B6/100)*U$2)</f>
        <v>2</v>
      </c>
      <c r="V6" s="109">
        <f>COUNTIF(Trackerdata[Homework 2],"&gt;="&amp;($B6/100)*V$2)</f>
        <v>2</v>
      </c>
      <c r="W6" s="109">
        <f>COUNTIF(Trackerdata[Assessment 0],"&gt;="&amp;($B6/100)*W$2)</f>
        <v>0</v>
      </c>
      <c r="X6" s="109">
        <f>COUNTIF(Trackerdata[Assessment 1],"&gt;="&amp;($B6/100)*X$2)</f>
        <v>0</v>
      </c>
      <c r="Y6" s="109">
        <f>COUNTIF(Trackerdata[Assessment 2],"&gt;="&amp;($B6/100)*Y$2)</f>
        <v>0</v>
      </c>
      <c r="Z6" s="109">
        <f>COUNTIF(Trackerdata[Assessment 3],"&gt;="&amp;($B6/100)*Z$2)</f>
        <v>0</v>
      </c>
      <c r="AA6" s="109">
        <f>COUNTIF(Trackerdata[Assessment 4],"&gt;="&amp;($B6/100)*AA$2)</f>
        <v>0</v>
      </c>
      <c r="AB6" s="109">
        <f>COUNTIF(Trackerdata[Assessment 5],"&gt;="&amp;($B6/100)*AB$2)</f>
        <v>0</v>
      </c>
      <c r="AC6" s="109">
        <f>COUNTIF(Trackerdata[Assessment 6],"&gt;="&amp;($B6/100)*AC$2)</f>
        <v>0</v>
      </c>
      <c r="AD6" s="109">
        <f>COUNTIF(Trackerdata[Assessment 7],"&gt;="&amp;($B6/100)*AD$2)</f>
        <v>0</v>
      </c>
      <c r="AE6" s="109">
        <f>COUNTIF(Trackerdata[Assessment 8],"&gt;="&amp;($B6/100)*AE$2)</f>
        <v>0</v>
      </c>
      <c r="AF6" s="109">
        <f>COUNTIF(Trackerdata[Assessment 9],"&gt;="&amp;($B6/100)*AF$2)</f>
        <v>0</v>
      </c>
      <c r="AG6" s="109">
        <f>COUNTIF(Trackerdata[Assessment 10],"&gt;="&amp;($B6/100)*AG$2)</f>
        <v>0</v>
      </c>
      <c r="AH6" s="109">
        <f>COUNTIF(Trackerdata[Assessment 11],"&gt;="&amp;($B6/100)*AH$2)</f>
        <v>0</v>
      </c>
      <c r="AI6" s="109">
        <f>COUNTIF(Trackerdata[Assessment 12],"&gt;="&amp;($B6/100)*AI$2)</f>
        <v>0</v>
      </c>
      <c r="AJ6" s="109">
        <f>COUNTIF(Trackerdata[Assessment 13],"&gt;="&amp;($B6/100)*AJ$2)</f>
        <v>0</v>
      </c>
      <c r="AK6" s="109">
        <f>COUNTIF(Trackerdata[Assessment 14],"&gt;="&amp;($B6/100)*AK$2)</f>
        <v>0</v>
      </c>
      <c r="AL6" s="109">
        <f>COUNTIF(Trackerdata[Assessment 15],"&gt;="&amp;($B6/100)*AL$2)</f>
        <v>0</v>
      </c>
      <c r="AM6" s="109">
        <f>COUNTIF(Trackerdata[Assessment 16],"&gt;="&amp;($B6/100)*AM$2)</f>
        <v>0</v>
      </c>
      <c r="AN6" s="109">
        <f>COUNTIF(Trackerdata[Assessment 17],"&gt;="&amp;($B6/100)*AN$2)</f>
        <v>0</v>
      </c>
      <c r="AO6" s="109">
        <f>COUNTIF(Trackerdata[Assessment 18],"&gt;="&amp;($B6/100)*AO$2)</f>
        <v>0</v>
      </c>
      <c r="AP6" s="109">
        <f>COUNTIF(Trackerdata[Assessment 19],"&gt;="&amp;($B6/100)*AP$2)</f>
        <v>0</v>
      </c>
      <c r="AQ6" s="109">
        <f>COUNTIF(Trackerdata[Assessment 20],"&gt;="&amp;($B6/100)*AQ$2)</f>
        <v>0</v>
      </c>
      <c r="AR6" s="109">
        <f>COUNTIF(Trackerdata[Assessment 21],"&gt;="&amp;($B6/100)*AR$2)</f>
        <v>0</v>
      </c>
      <c r="AS6" s="109">
        <f>COUNTIF(Trackerdata[Assessment 22],"&gt;="&amp;($B6/100)*AS$2)</f>
        <v>0</v>
      </c>
      <c r="AT6" s="109">
        <f>COUNTIF(Trackerdata[Assessment 23],"&gt;="&amp;($B6/100)*AT$2)</f>
        <v>0</v>
      </c>
      <c r="AU6" s="109">
        <f>COUNTIF(Trackerdata[Assessment 24],"&gt;="&amp;($B6/100)*AU$2)</f>
        <v>0</v>
      </c>
      <c r="AV6" s="109">
        <f>COUNTIF(Trackerdata[Assessment 25],"&gt;="&amp;($B6/100)*AV$2)</f>
        <v>0</v>
      </c>
      <c r="AW6" s="109">
        <f>COUNTIF(Trackerdata[Assessment | Insert new columns before here],"&gt;="&amp;($B6/100)*AW$2)</f>
        <v>0</v>
      </c>
      <c r="AX6" s="113"/>
    </row>
    <row r="7" spans="1:50" s="95" customFormat="1" hidden="1" x14ac:dyDescent="0.2">
      <c r="A7" s="114" t="s">
        <v>476</v>
      </c>
      <c r="B7" s="114">
        <v>80</v>
      </c>
      <c r="C7" s="109"/>
      <c r="D7" s="109"/>
      <c r="E7" s="109"/>
      <c r="F7" s="109"/>
      <c r="G7" s="109"/>
      <c r="H7" s="109"/>
      <c r="I7" s="109"/>
      <c r="J7" s="109"/>
      <c r="K7" s="109">
        <f>COUNTIFS(Trackerdata[Running Average],"&gt;="&amp;($B7/100)*K$2,Trackerdata[Running Average],"&lt;"&amp;($B6/100)*K$2)</f>
        <v>0</v>
      </c>
      <c r="L7" s="109"/>
      <c r="M7" s="109"/>
      <c r="N7" s="109">
        <f>COUNTIFS(Trackerdata[Homework],"&gt;="&amp;($B7/100)*N$2,Trackerdata[Homework],"&lt;"&amp;($B6/100)*N$2)</f>
        <v>1</v>
      </c>
      <c r="O7" s="109">
        <f>COUNTIFS(Trackerdata[Classwork],"&gt;="&amp;($B7/100)*O$2,Trackerdata[Classwork],"&lt;"&amp;($B6/100)*O$2)</f>
        <v>0</v>
      </c>
      <c r="P7" s="109">
        <f>COUNTIFS(Trackerdata[Test],"&gt;="&amp;($B7/100)*P$2,Trackerdata[Test],"&lt;"&amp;($B6/100)*P$2)</f>
        <v>0</v>
      </c>
      <c r="Q7" s="109">
        <f>COUNTIFS(Trackerdata[Projects],"&gt;="&amp;($B7/100)*Q$2,Trackerdata[Projects],"&lt;"&amp;($B6/100)*Q$2)</f>
        <v>0</v>
      </c>
      <c r="R7" s="109">
        <f>COUNTIFS(Trackerdata[Midterm],"&gt;="&amp;($B7/100)*R$2,Trackerdata[Midterm],"&lt;"&amp;($B6/100)*R$2)</f>
        <v>0</v>
      </c>
      <c r="S7" s="109">
        <f>COUNTIFS(Trackerdata[Create / rename your own categories!],"&gt;="&amp;($B7/100)*S$2,Trackerdata[Create / rename your own categories!],"&lt;"&amp;($B6/100)*S$2)</f>
        <v>0</v>
      </c>
      <c r="T7" s="109">
        <f>COUNTIFS(Trackerdata[Homework 1],"&gt;="&amp;($B7/100)*T$2,Trackerdata[Homework 1],"&lt;"&amp;($B6/100)*T$2)</f>
        <v>1</v>
      </c>
      <c r="U7" s="109">
        <f>COUNTIFS(Trackerdata[Classwork 1],"&gt;="&amp;($B7/100)*U$2,Trackerdata[Classwork 1],"&lt;"&amp;($B6/100)*U$2)</f>
        <v>0</v>
      </c>
      <c r="V7" s="109">
        <f>COUNTIFS(Trackerdata[Homework 2],"&gt;="&amp;($B7/100)*V$2,Trackerdata[Homework 2],"&lt;"&amp;($B6/100)*V$2)</f>
        <v>2</v>
      </c>
      <c r="W7" s="109">
        <f>COUNTIFS(Trackerdata[Assessment 0],"&gt;="&amp;($B7/100)*W$2,Trackerdata[Assessment 0],"&lt;"&amp;($B6/100)*W$2)</f>
        <v>0</v>
      </c>
      <c r="X7" s="109">
        <f>COUNTIFS(Trackerdata[Assessment 1],"&gt;="&amp;($B7/100)*X$2,Trackerdata[Assessment 1],"&lt;"&amp;($B6/100)*X$2)</f>
        <v>0</v>
      </c>
      <c r="Y7" s="109">
        <f>COUNTIFS(Trackerdata[Assessment 2],"&gt;="&amp;($B7/100)*Y$2,Trackerdata[Assessment 2],"&lt;"&amp;($B6/100)*Y$2)</f>
        <v>0</v>
      </c>
      <c r="Z7" s="109">
        <f>COUNTIFS(Trackerdata[Assessment 3],"&gt;="&amp;($B7/100)*Z$2,Trackerdata[Assessment 3],"&lt;"&amp;($B6/100)*Z$2)</f>
        <v>0</v>
      </c>
      <c r="AA7" s="109">
        <f>COUNTIFS(Trackerdata[Assessment 4],"&gt;="&amp;($B7/100)*AA$2,Trackerdata[Assessment 4],"&lt;"&amp;($B6/100)*AA$2)</f>
        <v>0</v>
      </c>
      <c r="AB7" s="109">
        <f>COUNTIFS(Trackerdata[Assessment 5],"&gt;="&amp;($B7/100)*AB$2,Trackerdata[Assessment 5],"&lt;"&amp;($B6/100)*AB$2)</f>
        <v>0</v>
      </c>
      <c r="AC7" s="109">
        <f>COUNTIFS(Trackerdata[Assessment 6],"&gt;="&amp;($B7/100)*AC$2,Trackerdata[Assessment 6],"&lt;"&amp;($B6/100)*AC$2)</f>
        <v>0</v>
      </c>
      <c r="AD7" s="109">
        <f>COUNTIFS(Trackerdata[Assessment 7],"&gt;="&amp;($B7/100)*AD$2,Trackerdata[Assessment 7],"&lt;"&amp;($B6/100)*AD$2)</f>
        <v>0</v>
      </c>
      <c r="AE7" s="109">
        <f>COUNTIFS(Trackerdata[Assessment 8],"&gt;="&amp;($B7/100)*AE$2,Trackerdata[Assessment 8],"&lt;"&amp;($B6/100)*AE$2)</f>
        <v>0</v>
      </c>
      <c r="AF7" s="109">
        <f>COUNTIFS(Trackerdata[Assessment 9],"&gt;="&amp;($B7/100)*AF$2,Trackerdata[Assessment 9],"&lt;"&amp;($B6/100)*AF$2)</f>
        <v>0</v>
      </c>
      <c r="AG7" s="109">
        <f>COUNTIFS(Trackerdata[Assessment 10],"&gt;="&amp;($B7/100)*AG$2,Trackerdata[Assessment 10],"&lt;"&amp;($B6/100)*AG$2)</f>
        <v>0</v>
      </c>
      <c r="AH7" s="109">
        <f>COUNTIFS(Trackerdata[Assessment 11],"&gt;="&amp;($B7/100)*AH$2,Trackerdata[Assessment 11],"&lt;"&amp;($B6/100)*AH$2)</f>
        <v>0</v>
      </c>
      <c r="AI7" s="109">
        <f>COUNTIFS(Trackerdata[Assessment 12],"&gt;="&amp;($B7/100)*AI$2,Trackerdata[Assessment 12],"&lt;"&amp;($B6/100)*AI$2)</f>
        <v>0</v>
      </c>
      <c r="AJ7" s="109">
        <f>COUNTIFS(Trackerdata[Assessment 13],"&gt;="&amp;($B7/100)*AJ$2,Trackerdata[Assessment 13],"&lt;"&amp;($B6/100)*AJ$2)</f>
        <v>0</v>
      </c>
      <c r="AK7" s="109">
        <f>COUNTIFS(Trackerdata[Assessment 14],"&gt;="&amp;($B7/100)*AK$2,Trackerdata[Assessment 14],"&lt;"&amp;($B6/100)*AK$2)</f>
        <v>0</v>
      </c>
      <c r="AL7" s="109">
        <f>COUNTIFS(Trackerdata[Assessment 15],"&gt;="&amp;($B7/100)*AL$2,Trackerdata[Assessment 15],"&lt;"&amp;($B6/100)*AL$2)</f>
        <v>0</v>
      </c>
      <c r="AM7" s="109">
        <f>COUNTIFS(Trackerdata[Assessment 16],"&gt;="&amp;($B7/100)*AM$2,Trackerdata[Assessment 16],"&lt;"&amp;($B6/100)*AM$2)</f>
        <v>0</v>
      </c>
      <c r="AN7" s="109">
        <f>COUNTIFS(Trackerdata[Assessment 17],"&gt;="&amp;($B7/100)*AN$2,Trackerdata[Assessment 17],"&lt;"&amp;($B6/100)*AN$2)</f>
        <v>0</v>
      </c>
      <c r="AO7" s="109">
        <f>COUNTIFS(Trackerdata[Assessment 18],"&gt;="&amp;($B7/100)*AO$2,Trackerdata[Assessment 18],"&lt;"&amp;($B6/100)*AO$2)</f>
        <v>0</v>
      </c>
      <c r="AP7" s="109">
        <f>COUNTIFS(Trackerdata[Assessment 19],"&gt;="&amp;($B7/100)*AP$2,Trackerdata[Assessment 19],"&lt;"&amp;($B6/100)*AP$2)</f>
        <v>0</v>
      </c>
      <c r="AQ7" s="109">
        <f>COUNTIFS(Trackerdata[Assessment 20],"&gt;="&amp;($B7/100)*AQ$2,Trackerdata[Assessment 20],"&lt;"&amp;($B6/100)*AQ$2)</f>
        <v>0</v>
      </c>
      <c r="AR7" s="109">
        <f>COUNTIFS(Trackerdata[Assessment 21],"&gt;="&amp;($B7/100)*AR$2,Trackerdata[Assessment 21],"&lt;"&amp;($B6/100)*AR$2)</f>
        <v>0</v>
      </c>
      <c r="AS7" s="109">
        <f>COUNTIFS(Trackerdata[Assessment 22],"&gt;="&amp;($B7/100)*AS$2,Trackerdata[Assessment 22],"&lt;"&amp;($B6/100)*AS$2)</f>
        <v>0</v>
      </c>
      <c r="AT7" s="109">
        <f>COUNTIFS(Trackerdata[Assessment 23],"&gt;="&amp;($B7/100)*AT$2,Trackerdata[Assessment 23],"&lt;"&amp;($B6/100)*AT$2)</f>
        <v>0</v>
      </c>
      <c r="AU7" s="109">
        <f>COUNTIFS(Trackerdata[Assessment 24],"&gt;="&amp;($B7/100)*AU$2,Trackerdata[Assessment 24],"&lt;"&amp;($B6/100)*AU$2)</f>
        <v>0</v>
      </c>
      <c r="AV7" s="109">
        <f>COUNTIFS(Trackerdata[Assessment 25],"&gt;="&amp;($B7/100)*AV$2,Trackerdata[Assessment 25],"&lt;"&amp;($B6/100)*AV$2)</f>
        <v>0</v>
      </c>
      <c r="AW7" s="109">
        <f>COUNTIFS(Trackerdata[Assessment | Insert new columns before here],"&gt;="&amp;($B7/100)*AW$2,Trackerdata[Assessment | Insert new columns before here],"&lt;"&amp;($B6/100)*AW$2)</f>
        <v>0</v>
      </c>
      <c r="AX7" s="113"/>
    </row>
    <row r="8" spans="1:50" s="95" customFormat="1" hidden="1" x14ac:dyDescent="0.2">
      <c r="A8" s="114" t="s">
        <v>477</v>
      </c>
      <c r="B8" s="114">
        <v>70</v>
      </c>
      <c r="C8" s="109"/>
      <c r="D8" s="109"/>
      <c r="E8" s="109"/>
      <c r="F8" s="109"/>
      <c r="G8" s="109"/>
      <c r="H8" s="109"/>
      <c r="I8" s="109"/>
      <c r="J8" s="109"/>
      <c r="K8" s="109">
        <f>COUNTIFS(Trackerdata[Running Average],"&gt;="&amp;($B8/100)*K$2,Trackerdata[Running Average],"&lt;"&amp;($B7/100)*K$2)</f>
        <v>1</v>
      </c>
      <c r="L8" s="109"/>
      <c r="M8" s="109"/>
      <c r="N8" s="109">
        <f>COUNTIFS(Trackerdata[Homework],"&gt;="&amp;($B8/100)*N$2,Trackerdata[Homework],"&lt;"&amp;($B7/100)*N$2)</f>
        <v>0</v>
      </c>
      <c r="O8" s="109">
        <f>COUNTIFS(Trackerdata[Classwork],"&gt;="&amp;($B8/100)*O$2,Trackerdata[Classwork],"&lt;"&amp;($B7/100)*O$2)</f>
        <v>0</v>
      </c>
      <c r="P8" s="109">
        <f>COUNTIFS(Trackerdata[Test],"&gt;="&amp;($B8/100)*P$2,Trackerdata[Test],"&lt;"&amp;($B7/100)*P$2)</f>
        <v>0</v>
      </c>
      <c r="Q8" s="109">
        <f>COUNTIFS(Trackerdata[Projects],"&gt;="&amp;($B8/100)*Q$2,Trackerdata[Projects],"&lt;"&amp;($B7/100)*Q$2)</f>
        <v>0</v>
      </c>
      <c r="R8" s="109">
        <f>COUNTIFS(Trackerdata[Midterm],"&gt;="&amp;($B8/100)*R$2,Trackerdata[Midterm],"&lt;"&amp;($B7/100)*R$2)</f>
        <v>0</v>
      </c>
      <c r="S8" s="109">
        <f>COUNTIFS(Trackerdata[Create / rename your own categories!],"&gt;="&amp;($B8/100)*S$2,Trackerdata[Create / rename your own categories!],"&lt;"&amp;($B7/100)*S$2)</f>
        <v>0</v>
      </c>
      <c r="T8" s="109">
        <f>COUNTIFS(Trackerdata[Homework 1],"&gt;="&amp;($B8/100)*T$2,Trackerdata[Homework 1],"&lt;"&amp;($B7/100)*T$2)</f>
        <v>0</v>
      </c>
      <c r="U8" s="109">
        <f>COUNTIFS(Trackerdata[Classwork 1],"&gt;="&amp;($B8/100)*U$2,Trackerdata[Classwork 1],"&lt;"&amp;($B7/100)*U$2)</f>
        <v>0</v>
      </c>
      <c r="V8" s="109">
        <f>COUNTIFS(Trackerdata[Homework 2],"&gt;="&amp;($B8/100)*V$2,Trackerdata[Homework 2],"&lt;"&amp;($B7/100)*V$2)</f>
        <v>0</v>
      </c>
      <c r="W8" s="109">
        <f>COUNTIFS(Trackerdata[Assessment 0],"&gt;="&amp;($B8/100)*W$2,Trackerdata[Assessment 0],"&lt;"&amp;($B7/100)*W$2)</f>
        <v>0</v>
      </c>
      <c r="X8" s="109">
        <f>COUNTIFS(Trackerdata[Assessment 1],"&gt;="&amp;($B8/100)*X$2,Trackerdata[Assessment 1],"&lt;"&amp;($B7/100)*X$2)</f>
        <v>0</v>
      </c>
      <c r="Y8" s="109">
        <f>COUNTIFS(Trackerdata[Assessment 2],"&gt;="&amp;($B8/100)*Y$2,Trackerdata[Assessment 2],"&lt;"&amp;($B7/100)*Y$2)</f>
        <v>0</v>
      </c>
      <c r="Z8" s="109">
        <f>COUNTIFS(Trackerdata[Assessment 3],"&gt;="&amp;($B8/100)*Z$2,Trackerdata[Assessment 3],"&lt;"&amp;($B7/100)*Z$2)</f>
        <v>0</v>
      </c>
      <c r="AA8" s="109">
        <f>COUNTIFS(Trackerdata[Assessment 4],"&gt;="&amp;($B8/100)*AA$2,Trackerdata[Assessment 4],"&lt;"&amp;($B7/100)*AA$2)</f>
        <v>0</v>
      </c>
      <c r="AB8" s="109">
        <f>COUNTIFS(Trackerdata[Assessment 5],"&gt;="&amp;($B8/100)*AB$2,Trackerdata[Assessment 5],"&lt;"&amp;($B7/100)*AB$2)</f>
        <v>0</v>
      </c>
      <c r="AC8" s="109">
        <f>COUNTIFS(Trackerdata[Assessment 6],"&gt;="&amp;($B8/100)*AC$2,Trackerdata[Assessment 6],"&lt;"&amp;($B7/100)*AC$2)</f>
        <v>0</v>
      </c>
      <c r="AD8" s="109">
        <f>COUNTIFS(Trackerdata[Assessment 7],"&gt;="&amp;($B8/100)*AD$2,Trackerdata[Assessment 7],"&lt;"&amp;($B7/100)*AD$2)</f>
        <v>0</v>
      </c>
      <c r="AE8" s="109">
        <f>COUNTIFS(Trackerdata[Assessment 8],"&gt;="&amp;($B8/100)*AE$2,Trackerdata[Assessment 8],"&lt;"&amp;($B7/100)*AE$2)</f>
        <v>0</v>
      </c>
      <c r="AF8" s="109">
        <f>COUNTIFS(Trackerdata[Assessment 9],"&gt;="&amp;($B8/100)*AF$2,Trackerdata[Assessment 9],"&lt;"&amp;($B7/100)*AF$2)</f>
        <v>0</v>
      </c>
      <c r="AG8" s="109">
        <f>COUNTIFS(Trackerdata[Assessment 10],"&gt;="&amp;($B8/100)*AG$2,Trackerdata[Assessment 10],"&lt;"&amp;($B7/100)*AG$2)</f>
        <v>0</v>
      </c>
      <c r="AH8" s="109">
        <f>COUNTIFS(Trackerdata[Assessment 11],"&gt;="&amp;($B8/100)*AH$2,Trackerdata[Assessment 11],"&lt;"&amp;($B7/100)*AH$2)</f>
        <v>0</v>
      </c>
      <c r="AI8" s="109">
        <f>COUNTIFS(Trackerdata[Assessment 12],"&gt;="&amp;($B8/100)*AI$2,Trackerdata[Assessment 12],"&lt;"&amp;($B7/100)*AI$2)</f>
        <v>0</v>
      </c>
      <c r="AJ8" s="109">
        <f>COUNTIFS(Trackerdata[Assessment 13],"&gt;="&amp;($B8/100)*AJ$2,Trackerdata[Assessment 13],"&lt;"&amp;($B7/100)*AJ$2)</f>
        <v>0</v>
      </c>
      <c r="AK8" s="109">
        <f>COUNTIFS(Trackerdata[Assessment 14],"&gt;="&amp;($B8/100)*AK$2,Trackerdata[Assessment 14],"&lt;"&amp;($B7/100)*AK$2)</f>
        <v>0</v>
      </c>
      <c r="AL8" s="109">
        <f>COUNTIFS(Trackerdata[Assessment 15],"&gt;="&amp;($B8/100)*AL$2,Trackerdata[Assessment 15],"&lt;"&amp;($B7/100)*AL$2)</f>
        <v>0</v>
      </c>
      <c r="AM8" s="109">
        <f>COUNTIFS(Trackerdata[Assessment 16],"&gt;="&amp;($B8/100)*AM$2,Trackerdata[Assessment 16],"&lt;"&amp;($B7/100)*AM$2)</f>
        <v>0</v>
      </c>
      <c r="AN8" s="109">
        <f>COUNTIFS(Trackerdata[Assessment 17],"&gt;="&amp;($B8/100)*AN$2,Trackerdata[Assessment 17],"&lt;"&amp;($B7/100)*AN$2)</f>
        <v>0</v>
      </c>
      <c r="AO8" s="109">
        <f>COUNTIFS(Trackerdata[Assessment 18],"&gt;="&amp;($B8/100)*AO$2,Trackerdata[Assessment 18],"&lt;"&amp;($B7/100)*AO$2)</f>
        <v>0</v>
      </c>
      <c r="AP8" s="109">
        <f>COUNTIFS(Trackerdata[Assessment 19],"&gt;="&amp;($B8/100)*AP$2,Trackerdata[Assessment 19],"&lt;"&amp;($B7/100)*AP$2)</f>
        <v>0</v>
      </c>
      <c r="AQ8" s="109">
        <f>COUNTIFS(Trackerdata[Assessment 20],"&gt;="&amp;($B8/100)*AQ$2,Trackerdata[Assessment 20],"&lt;"&amp;($B7/100)*AQ$2)</f>
        <v>0</v>
      </c>
      <c r="AR8" s="109">
        <f>COUNTIFS(Trackerdata[Assessment 21],"&gt;="&amp;($B8/100)*AR$2,Trackerdata[Assessment 21],"&lt;"&amp;($B7/100)*AR$2)</f>
        <v>0</v>
      </c>
      <c r="AS8" s="109">
        <f>COUNTIFS(Trackerdata[Assessment 22],"&gt;="&amp;($B8/100)*AS$2,Trackerdata[Assessment 22],"&lt;"&amp;($B7/100)*AS$2)</f>
        <v>0</v>
      </c>
      <c r="AT8" s="109">
        <f>COUNTIFS(Trackerdata[Assessment 23],"&gt;="&amp;($B8/100)*AT$2,Trackerdata[Assessment 23],"&lt;"&amp;($B7/100)*AT$2)</f>
        <v>0</v>
      </c>
      <c r="AU8" s="109">
        <f>COUNTIFS(Trackerdata[Assessment 24],"&gt;="&amp;($B8/100)*AU$2,Trackerdata[Assessment 24],"&lt;"&amp;($B7/100)*AU$2)</f>
        <v>0</v>
      </c>
      <c r="AV8" s="109">
        <f>COUNTIFS(Trackerdata[Assessment 25],"&gt;="&amp;($B8/100)*AV$2,Trackerdata[Assessment 25],"&lt;"&amp;($B7/100)*AV$2)</f>
        <v>0</v>
      </c>
      <c r="AW8" s="109">
        <f>COUNTIFS(Trackerdata[Assessment | Insert new columns before here],"&gt;="&amp;($B8/100)*AW$2,Trackerdata[Assessment | Insert new columns before here],"&lt;"&amp;($B7/100)*AW$2)</f>
        <v>0</v>
      </c>
      <c r="AX8" s="113"/>
    </row>
    <row r="9" spans="1:50" s="95" customFormat="1" hidden="1" x14ac:dyDescent="0.2">
      <c r="A9" s="114" t="s">
        <v>478</v>
      </c>
      <c r="B9" s="114">
        <v>60</v>
      </c>
      <c r="C9" s="109"/>
      <c r="D9" s="109"/>
      <c r="E9" s="109"/>
      <c r="F9" s="109"/>
      <c r="G9" s="109"/>
      <c r="H9" s="109"/>
      <c r="I9" s="109"/>
      <c r="J9" s="109"/>
      <c r="K9" s="109">
        <f>COUNTIFS(Trackerdata[Running Average],"&gt;="&amp;($B9/100)*K$2,Trackerdata[Running Average],"&lt;"&amp;($B8/100)*K$2)</f>
        <v>0</v>
      </c>
      <c r="L9" s="109"/>
      <c r="M9" s="109"/>
      <c r="N9" s="109">
        <f>COUNTIFS(Trackerdata[Homework],"&gt;="&amp;($B9/100)*N$2,Trackerdata[Homework],"&lt;"&amp;($B8/100)*N$2)</f>
        <v>0</v>
      </c>
      <c r="O9" s="109">
        <f>COUNTIFS(Trackerdata[Classwork],"&gt;="&amp;($B9/100)*O$2,Trackerdata[Classwork],"&lt;"&amp;($B8/100)*O$2)</f>
        <v>1</v>
      </c>
      <c r="P9" s="109">
        <f>COUNTIFS(Trackerdata[Test],"&gt;="&amp;($B9/100)*P$2,Trackerdata[Test],"&lt;"&amp;($B8/100)*P$2)</f>
        <v>0</v>
      </c>
      <c r="Q9" s="109">
        <f>COUNTIFS(Trackerdata[Projects],"&gt;="&amp;($B9/100)*Q$2,Trackerdata[Projects],"&lt;"&amp;($B8/100)*Q$2)</f>
        <v>0</v>
      </c>
      <c r="R9" s="109">
        <f>COUNTIFS(Trackerdata[Midterm],"&gt;="&amp;($B9/100)*R$2,Trackerdata[Midterm],"&lt;"&amp;($B8/100)*R$2)</f>
        <v>0</v>
      </c>
      <c r="S9" s="109">
        <f>COUNTIFS(Trackerdata[Create / rename your own categories!],"&gt;="&amp;($B9/100)*S$2,Trackerdata[Create / rename your own categories!],"&lt;"&amp;($B8/100)*S$2)</f>
        <v>0</v>
      </c>
      <c r="T9" s="109">
        <f>COUNTIFS(Trackerdata[Homework 1],"&gt;="&amp;($B9/100)*T$2,Trackerdata[Homework 1],"&lt;"&amp;($B8/100)*T$2)</f>
        <v>0</v>
      </c>
      <c r="U9" s="109">
        <f>COUNTIFS(Trackerdata[Classwork 1],"&gt;="&amp;($B9/100)*U$2,Trackerdata[Classwork 1],"&lt;"&amp;($B8/100)*U$2)</f>
        <v>1</v>
      </c>
      <c r="V9" s="109">
        <f>COUNTIFS(Trackerdata[Homework 2],"&gt;="&amp;($B9/100)*V$2,Trackerdata[Homework 2],"&lt;"&amp;($B8/100)*V$2)</f>
        <v>0</v>
      </c>
      <c r="W9" s="109">
        <f>COUNTIFS(Trackerdata[Assessment 0],"&gt;="&amp;($B9/100)*W$2,Trackerdata[Assessment 0],"&lt;"&amp;($B8/100)*W$2)</f>
        <v>0</v>
      </c>
      <c r="X9" s="109">
        <f>COUNTIFS(Trackerdata[Assessment 1],"&gt;="&amp;($B9/100)*X$2,Trackerdata[Assessment 1],"&lt;"&amp;($B8/100)*X$2)</f>
        <v>0</v>
      </c>
      <c r="Y9" s="109">
        <f>COUNTIFS(Trackerdata[Assessment 2],"&gt;="&amp;($B9/100)*Y$2,Trackerdata[Assessment 2],"&lt;"&amp;($B8/100)*Y$2)</f>
        <v>0</v>
      </c>
      <c r="Z9" s="109">
        <f>COUNTIFS(Trackerdata[Assessment 3],"&gt;="&amp;($B9/100)*Z$2,Trackerdata[Assessment 3],"&lt;"&amp;($B8/100)*Z$2)</f>
        <v>0</v>
      </c>
      <c r="AA9" s="109">
        <f>COUNTIFS(Trackerdata[Assessment 4],"&gt;="&amp;($B9/100)*AA$2,Trackerdata[Assessment 4],"&lt;"&amp;($B8/100)*AA$2)</f>
        <v>0</v>
      </c>
      <c r="AB9" s="109">
        <f>COUNTIFS(Trackerdata[Assessment 5],"&gt;="&amp;($B9/100)*AB$2,Trackerdata[Assessment 5],"&lt;"&amp;($B8/100)*AB$2)</f>
        <v>0</v>
      </c>
      <c r="AC9" s="109">
        <f>COUNTIFS(Trackerdata[Assessment 6],"&gt;="&amp;($B9/100)*AC$2,Trackerdata[Assessment 6],"&lt;"&amp;($B8/100)*AC$2)</f>
        <v>0</v>
      </c>
      <c r="AD9" s="109">
        <f>COUNTIFS(Trackerdata[Assessment 7],"&gt;="&amp;($B9/100)*AD$2,Trackerdata[Assessment 7],"&lt;"&amp;($B8/100)*AD$2)</f>
        <v>0</v>
      </c>
      <c r="AE9" s="109">
        <f>COUNTIFS(Trackerdata[Assessment 8],"&gt;="&amp;($B9/100)*AE$2,Trackerdata[Assessment 8],"&lt;"&amp;($B8/100)*AE$2)</f>
        <v>0</v>
      </c>
      <c r="AF9" s="109">
        <f>COUNTIFS(Trackerdata[Assessment 9],"&gt;="&amp;($B9/100)*AF$2,Trackerdata[Assessment 9],"&lt;"&amp;($B8/100)*AF$2)</f>
        <v>0</v>
      </c>
      <c r="AG9" s="109">
        <f>COUNTIFS(Trackerdata[Assessment 10],"&gt;="&amp;($B9/100)*AG$2,Trackerdata[Assessment 10],"&lt;"&amp;($B8/100)*AG$2)</f>
        <v>0</v>
      </c>
      <c r="AH9" s="109">
        <f>COUNTIFS(Trackerdata[Assessment 11],"&gt;="&amp;($B9/100)*AH$2,Trackerdata[Assessment 11],"&lt;"&amp;($B8/100)*AH$2)</f>
        <v>0</v>
      </c>
      <c r="AI9" s="109">
        <f>COUNTIFS(Trackerdata[Assessment 12],"&gt;="&amp;($B9/100)*AI$2,Trackerdata[Assessment 12],"&lt;"&amp;($B8/100)*AI$2)</f>
        <v>0</v>
      </c>
      <c r="AJ9" s="109">
        <f>COUNTIFS(Trackerdata[Assessment 13],"&gt;="&amp;($B9/100)*AJ$2,Trackerdata[Assessment 13],"&lt;"&amp;($B8/100)*AJ$2)</f>
        <v>0</v>
      </c>
      <c r="AK9" s="109">
        <f>COUNTIFS(Trackerdata[Assessment 14],"&gt;="&amp;($B9/100)*AK$2,Trackerdata[Assessment 14],"&lt;"&amp;($B8/100)*AK$2)</f>
        <v>0</v>
      </c>
      <c r="AL9" s="109">
        <f>COUNTIFS(Trackerdata[Assessment 15],"&gt;="&amp;($B9/100)*AL$2,Trackerdata[Assessment 15],"&lt;"&amp;($B8/100)*AL$2)</f>
        <v>0</v>
      </c>
      <c r="AM9" s="109">
        <f>COUNTIFS(Trackerdata[Assessment 16],"&gt;="&amp;($B9/100)*AM$2,Trackerdata[Assessment 16],"&lt;"&amp;($B8/100)*AM$2)</f>
        <v>0</v>
      </c>
      <c r="AN9" s="109">
        <f>COUNTIFS(Trackerdata[Assessment 17],"&gt;="&amp;($B9/100)*AN$2,Trackerdata[Assessment 17],"&lt;"&amp;($B8/100)*AN$2)</f>
        <v>0</v>
      </c>
      <c r="AO9" s="109">
        <f>COUNTIFS(Trackerdata[Assessment 18],"&gt;="&amp;($B9/100)*AO$2,Trackerdata[Assessment 18],"&lt;"&amp;($B8/100)*AO$2)</f>
        <v>0</v>
      </c>
      <c r="AP9" s="109">
        <f>COUNTIFS(Trackerdata[Assessment 19],"&gt;="&amp;($B9/100)*AP$2,Trackerdata[Assessment 19],"&lt;"&amp;($B8/100)*AP$2)</f>
        <v>0</v>
      </c>
      <c r="AQ9" s="109">
        <f>COUNTIFS(Trackerdata[Assessment 20],"&gt;="&amp;($B9/100)*AQ$2,Trackerdata[Assessment 20],"&lt;"&amp;($B8/100)*AQ$2)</f>
        <v>0</v>
      </c>
      <c r="AR9" s="109">
        <f>COUNTIFS(Trackerdata[Assessment 21],"&gt;="&amp;($B9/100)*AR$2,Trackerdata[Assessment 21],"&lt;"&amp;($B8/100)*AR$2)</f>
        <v>0</v>
      </c>
      <c r="AS9" s="109">
        <f>COUNTIFS(Trackerdata[Assessment 22],"&gt;="&amp;($B9/100)*AS$2,Trackerdata[Assessment 22],"&lt;"&amp;($B8/100)*AS$2)</f>
        <v>0</v>
      </c>
      <c r="AT9" s="109">
        <f>COUNTIFS(Trackerdata[Assessment 23],"&gt;="&amp;($B9/100)*AT$2,Trackerdata[Assessment 23],"&lt;"&amp;($B8/100)*AT$2)</f>
        <v>0</v>
      </c>
      <c r="AU9" s="109">
        <f>COUNTIFS(Trackerdata[Assessment 24],"&gt;="&amp;($B9/100)*AU$2,Trackerdata[Assessment 24],"&lt;"&amp;($B8/100)*AU$2)</f>
        <v>0</v>
      </c>
      <c r="AV9" s="109">
        <f>COUNTIFS(Trackerdata[Assessment 25],"&gt;="&amp;($B9/100)*AV$2,Trackerdata[Assessment 25],"&lt;"&amp;($B8/100)*AV$2)</f>
        <v>0</v>
      </c>
      <c r="AW9" s="109">
        <f>COUNTIFS(Trackerdata[Assessment | Insert new columns before here],"&gt;="&amp;($B9/100)*AW$2,Trackerdata[Assessment | Insert new columns before here],"&lt;"&amp;($B8/100)*AW$2)</f>
        <v>0</v>
      </c>
      <c r="AX9" s="113"/>
    </row>
    <row r="10" spans="1:50" s="95" customFormat="1" hidden="1" x14ac:dyDescent="0.2">
      <c r="A10" s="114" t="s">
        <v>479</v>
      </c>
      <c r="B10" s="114">
        <v>0</v>
      </c>
      <c r="C10" s="109"/>
      <c r="D10" s="109"/>
      <c r="E10" s="109"/>
      <c r="F10" s="109"/>
      <c r="G10" s="109"/>
      <c r="H10" s="109"/>
      <c r="I10" s="109"/>
      <c r="J10" s="109"/>
      <c r="K10" s="109">
        <f>COUNTIF(Trackerdata[Running Average],"&lt;"&amp;($B9/100)*K$2)</f>
        <v>6</v>
      </c>
      <c r="L10" s="109"/>
      <c r="M10" s="109"/>
      <c r="N10" s="109">
        <f>COUNTIF(Trackerdata[Homework],"&lt;"&amp;($B9/100)*N$2)</f>
        <v>6</v>
      </c>
      <c r="O10" s="109">
        <f>COUNTIF(Trackerdata[Classwork],"&lt;"&amp;($B9/100)*O$2)</f>
        <v>6</v>
      </c>
      <c r="P10" s="109">
        <f>COUNTIF(Trackerdata[Test],"&lt;"&amp;($B9/100)*P$2)</f>
        <v>0</v>
      </c>
      <c r="Q10" s="109">
        <f>COUNTIF(Trackerdata[Projects],"&lt;"&amp;($B9/100)*Q$2)</f>
        <v>0</v>
      </c>
      <c r="R10" s="109">
        <f>COUNTIF(Trackerdata[Midterm],"&lt;"&amp;($B9/100)*R$2)</f>
        <v>0</v>
      </c>
      <c r="S10" s="109">
        <f>COUNTIF(Trackerdata[Create / rename your own categories!],"&lt;"&amp;($B9/100)*S$2)</f>
        <v>0</v>
      </c>
      <c r="T10" s="109">
        <f>COUNTIF(Trackerdata[Homework 1],"&lt;"&amp;($B9/100)*T$2)</f>
        <v>0</v>
      </c>
      <c r="U10" s="109">
        <f>COUNTIF(Trackerdata[Classwork 1],"&lt;"&amp;($B9/100)*U$2)</f>
        <v>0</v>
      </c>
      <c r="V10" s="109">
        <f>COUNTIF(Trackerdata[Homework 2],"&lt;"&amp;($B9/100)*V$2)</f>
        <v>0</v>
      </c>
      <c r="W10" s="109">
        <f>COUNTIF(Trackerdata[Assessment 0],"&lt;"&amp;($B9/100)*W$2)</f>
        <v>0</v>
      </c>
      <c r="X10" s="109">
        <f>COUNTIF(Trackerdata[Assessment 1],"&lt;"&amp;($B9/100)*X$2)</f>
        <v>0</v>
      </c>
      <c r="Y10" s="109">
        <f>COUNTIF(Trackerdata[Assessment 2],"&lt;"&amp;($B9/100)*Y$2)</f>
        <v>0</v>
      </c>
      <c r="Z10" s="109">
        <f>COUNTIF(Trackerdata[Assessment 3],"&lt;"&amp;($B9/100)*Z$2)</f>
        <v>0</v>
      </c>
      <c r="AA10" s="109">
        <f>COUNTIF(Trackerdata[Assessment 4],"&lt;"&amp;($B9/100)*AA$2)</f>
        <v>0</v>
      </c>
      <c r="AB10" s="109">
        <f>COUNTIF(Trackerdata[Assessment 5],"&lt;"&amp;($B9/100)*AB$2)</f>
        <v>0</v>
      </c>
      <c r="AC10" s="109">
        <f>COUNTIF(Trackerdata[Assessment 6],"&lt;"&amp;($B9/100)*AC$2)</f>
        <v>0</v>
      </c>
      <c r="AD10" s="109">
        <f>COUNTIF(Trackerdata[Assessment 7],"&lt;"&amp;($B9/100)*AD$2)</f>
        <v>0</v>
      </c>
      <c r="AE10" s="109">
        <f>COUNTIF(Trackerdata[Assessment 8],"&lt;"&amp;($B9/100)*AE$2)</f>
        <v>0</v>
      </c>
      <c r="AF10" s="109">
        <f>COUNTIF(Trackerdata[Assessment 9],"&lt;"&amp;($B9/100)*AF$2)</f>
        <v>0</v>
      </c>
      <c r="AG10" s="109">
        <f>COUNTIF(Trackerdata[Assessment 10],"&lt;"&amp;($B9/100)*AG$2)</f>
        <v>0</v>
      </c>
      <c r="AH10" s="109">
        <f>COUNTIF(Trackerdata[Assessment 11],"&lt;"&amp;($B9/100)*AH$2)</f>
        <v>0</v>
      </c>
      <c r="AI10" s="109">
        <f>COUNTIF(Trackerdata[Assessment 12],"&lt;"&amp;($B9/100)*AI$2)</f>
        <v>0</v>
      </c>
      <c r="AJ10" s="109">
        <f>COUNTIF(Trackerdata[Assessment 13],"&lt;"&amp;($B9/100)*AJ$2)</f>
        <v>0</v>
      </c>
      <c r="AK10" s="109">
        <f>COUNTIF(Trackerdata[Assessment 14],"&lt;"&amp;($B9/100)*AK$2)</f>
        <v>0</v>
      </c>
      <c r="AL10" s="109">
        <f>COUNTIF(Trackerdata[Assessment 15],"&lt;"&amp;($B9/100)*AL$2)</f>
        <v>0</v>
      </c>
      <c r="AM10" s="109">
        <f>COUNTIF(Trackerdata[Assessment 16],"&lt;"&amp;($B9/100)*AM$2)</f>
        <v>0</v>
      </c>
      <c r="AN10" s="109">
        <f>COUNTIF(Trackerdata[Assessment 17],"&lt;"&amp;($B9/100)*AN$2)</f>
        <v>0</v>
      </c>
      <c r="AO10" s="109">
        <f>COUNTIF(Trackerdata[Assessment 18],"&lt;"&amp;($B9/100)*AO$2)</f>
        <v>0</v>
      </c>
      <c r="AP10" s="109">
        <f>COUNTIF(Trackerdata[Assessment 19],"&lt;"&amp;($B9/100)*AP$2)</f>
        <v>0</v>
      </c>
      <c r="AQ10" s="109">
        <f>COUNTIF(Trackerdata[Assessment 20],"&lt;"&amp;($B9/100)*AQ$2)</f>
        <v>0</v>
      </c>
      <c r="AR10" s="109">
        <f>COUNTIF(Trackerdata[Assessment 21],"&lt;"&amp;($B9/100)*AR$2)</f>
        <v>0</v>
      </c>
      <c r="AS10" s="109">
        <f>COUNTIF(Trackerdata[Assessment 22],"&lt;"&amp;($B9/100)*AS$2)</f>
        <v>0</v>
      </c>
      <c r="AT10" s="109">
        <f>COUNTIF(Trackerdata[Assessment 23],"&lt;"&amp;($B9/100)*AT$2)</f>
        <v>0</v>
      </c>
      <c r="AU10" s="109">
        <f>COUNTIF(Trackerdata[Assessment 24],"&lt;"&amp;($B9/100)*AU$2)</f>
        <v>0</v>
      </c>
      <c r="AV10" s="109">
        <f>COUNTIF(Trackerdata[Assessment 25],"&lt;"&amp;($B9/100)*AV$2)</f>
        <v>0</v>
      </c>
      <c r="AW10" s="109">
        <f>COUNTIF(Trackerdata[Assessment | Insert new columns before here],"&lt;"&amp;($B9/100)*AW$2)</f>
        <v>0</v>
      </c>
      <c r="AX10" s="113"/>
    </row>
    <row r="11" spans="1:50" s="7" customFormat="1" ht="135" customHeight="1" thickBot="1" x14ac:dyDescent="0.25">
      <c r="A11" s="16" t="s">
        <v>5</v>
      </c>
      <c r="B11" s="17" t="s">
        <v>6</v>
      </c>
      <c r="C11" s="18" t="s">
        <v>7</v>
      </c>
      <c r="D11" s="18" t="s">
        <v>8</v>
      </c>
      <c r="E11" s="18" t="s">
        <v>9</v>
      </c>
      <c r="F11" s="18" t="s">
        <v>10</v>
      </c>
      <c r="G11" s="18" t="s">
        <v>11</v>
      </c>
      <c r="H11" s="18" t="s">
        <v>480</v>
      </c>
      <c r="I11" s="18" t="s">
        <v>481</v>
      </c>
      <c r="J11" s="18" t="s">
        <v>13</v>
      </c>
      <c r="K11" s="19" t="s">
        <v>482</v>
      </c>
      <c r="L11" s="19" t="s">
        <v>14</v>
      </c>
      <c r="M11" s="20" t="s">
        <v>15</v>
      </c>
      <c r="N11" s="21" t="s">
        <v>1</v>
      </c>
      <c r="O11" s="21" t="s">
        <v>2</v>
      </c>
      <c r="P11" s="21" t="s">
        <v>16</v>
      </c>
      <c r="Q11" s="21" t="s">
        <v>17</v>
      </c>
      <c r="R11" s="21" t="s">
        <v>18</v>
      </c>
      <c r="S11" s="22" t="s">
        <v>19</v>
      </c>
      <c r="T11" s="23" t="s">
        <v>20</v>
      </c>
      <c r="U11" s="24" t="s">
        <v>21</v>
      </c>
      <c r="V11" s="24" t="s">
        <v>22</v>
      </c>
      <c r="W11" s="24" t="s">
        <v>23</v>
      </c>
      <c r="X11" s="24" t="s">
        <v>24</v>
      </c>
      <c r="Y11" s="24" t="s">
        <v>25</v>
      </c>
      <c r="Z11" s="24" t="s">
        <v>26</v>
      </c>
      <c r="AA11" s="24" t="s">
        <v>27</v>
      </c>
      <c r="AB11" s="24" t="s">
        <v>28</v>
      </c>
      <c r="AC11" s="24" t="s">
        <v>29</v>
      </c>
      <c r="AD11" s="24" t="s">
        <v>30</v>
      </c>
      <c r="AE11" s="24" t="s">
        <v>31</v>
      </c>
      <c r="AF11" s="24" t="s">
        <v>32</v>
      </c>
      <c r="AG11" s="24" t="s">
        <v>33</v>
      </c>
      <c r="AH11" s="24" t="s">
        <v>34</v>
      </c>
      <c r="AI11" s="24" t="s">
        <v>35</v>
      </c>
      <c r="AJ11" s="24" t="s">
        <v>36</v>
      </c>
      <c r="AK11" s="24" t="s">
        <v>37</v>
      </c>
      <c r="AL11" s="24" t="s">
        <v>38</v>
      </c>
      <c r="AM11" s="24" t="s">
        <v>39</v>
      </c>
      <c r="AN11" s="24" t="s">
        <v>40</v>
      </c>
      <c r="AO11" s="24" t="s">
        <v>41</v>
      </c>
      <c r="AP11" s="24" t="s">
        <v>42</v>
      </c>
      <c r="AQ11" s="24" t="s">
        <v>43</v>
      </c>
      <c r="AR11" s="24" t="s">
        <v>44</v>
      </c>
      <c r="AS11" s="24" t="s">
        <v>45</v>
      </c>
      <c r="AT11" s="24" t="s">
        <v>46</v>
      </c>
      <c r="AU11" s="24" t="s">
        <v>47</v>
      </c>
      <c r="AV11" s="24" t="s">
        <v>48</v>
      </c>
      <c r="AW11" s="24" t="s">
        <v>472</v>
      </c>
      <c r="AX11" s="112"/>
    </row>
    <row r="12" spans="1:50" s="7" customFormat="1" x14ac:dyDescent="0.2">
      <c r="A12" s="25">
        <v>1</v>
      </c>
      <c r="B12" s="26" t="s">
        <v>49</v>
      </c>
      <c r="C12" s="27"/>
      <c r="D12" s="27"/>
      <c r="E12" s="27"/>
      <c r="F12" s="27"/>
      <c r="G12" s="27"/>
      <c r="H12" s="27">
        <f>IFERROR(VLOOKUP(Trackerdata[[#This Row],[Name]],AbsentTardyTable[[Student]:[Lates]],2,FALSE),"No match")</f>
        <v>1</v>
      </c>
      <c r="I12" s="27">
        <f>IFERROR(VLOOKUP(Trackerdata[[#This Row],[Name]],AbsentTardyTable[[Student]:[Lates]],3,FALSE),"No match")</f>
        <v>0</v>
      </c>
      <c r="J12" s="27"/>
      <c r="K12" s="28">
        <f>IFERROR(Trackerdata[[#This Row],[Total Points]]/Trackerdata[[#This Row],[Total Possible Points]]*100,"")</f>
        <v>93.333333333333329</v>
      </c>
      <c r="L12" s="28">
        <f t="shared" ref="L12:L21" si="0">IFERROR(SUMPRODUCT($T12:$AW12,$T$3:$AW$3,--($T12:$AW12&lt;&gt;"Excused")),"")</f>
        <v>28</v>
      </c>
      <c r="M12" s="29">
        <f t="shared" ref="M12:M21" si="1">IFERROR(SUMPRODUCT($T$2:$AW$2,$T$3:$AW$3,--($T12:$AW12&lt;&gt;"Excused")),"")</f>
        <v>30</v>
      </c>
      <c r="N12" s="30">
        <f t="shared" ref="N12:S21" si="2">IFERROR(SUMPRODUCT($T12:$AW12,$T$3:$AW$3,--($T12:$AW12&lt;&gt;"Excused"),--($T$1:$AW$1=N$11))/SUMPRODUCT($T$2:$AW$2,$T$3:$AW$3,--($T12:$AW12&lt;&gt;"Excused"),--($T$1:$AW$1=N$11))*100,"")</f>
        <v>93.333333333333329</v>
      </c>
      <c r="O12" s="31">
        <f t="shared" si="2"/>
        <v>93.333333333333329</v>
      </c>
      <c r="P12" s="31" t="str">
        <f t="shared" si="2"/>
        <v/>
      </c>
      <c r="Q12" s="31" t="str">
        <f t="shared" si="2"/>
        <v/>
      </c>
      <c r="R12" s="31" t="str">
        <f t="shared" si="2"/>
        <v/>
      </c>
      <c r="S12" s="31" t="str">
        <f t="shared" si="2"/>
        <v/>
      </c>
      <c r="T12" s="32">
        <v>10</v>
      </c>
      <c r="U12" s="33">
        <v>14</v>
      </c>
      <c r="V12" s="33">
        <v>4</v>
      </c>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row>
    <row r="13" spans="1:50" s="7" customFormat="1" x14ac:dyDescent="0.2">
      <c r="A13" s="34">
        <v>1</v>
      </c>
      <c r="B13" s="35" t="s">
        <v>50</v>
      </c>
      <c r="C13" s="36"/>
      <c r="D13" s="36"/>
      <c r="E13" s="36"/>
      <c r="F13" s="36"/>
      <c r="G13" s="36"/>
      <c r="H13" s="36">
        <f>IFERROR(VLOOKUP(Trackerdata[[#This Row],[Name]],AbsentTardyTable[[Student]:[Lates]],2,FALSE),"No match")</f>
        <v>0</v>
      </c>
      <c r="I13" s="36">
        <f>IFERROR(VLOOKUP(Trackerdata[[#This Row],[Name]],AbsentTardyTable[[Student]:[Lates]],3,FALSE),"No match")</f>
        <v>1</v>
      </c>
      <c r="J13" s="36"/>
      <c r="K13" s="37">
        <f>IFERROR(Trackerdata[[#This Row],[Total Points]]/Trackerdata[[#This Row],[Total Possible Points]]*100,"")</f>
        <v>76.666666666666671</v>
      </c>
      <c r="L13" s="37">
        <f t="shared" si="0"/>
        <v>23</v>
      </c>
      <c r="M13" s="38">
        <f t="shared" si="1"/>
        <v>30</v>
      </c>
      <c r="N13" s="39">
        <f t="shared" si="2"/>
        <v>86.666666666666671</v>
      </c>
      <c r="O13" s="37">
        <f t="shared" si="2"/>
        <v>66.666666666666657</v>
      </c>
      <c r="P13" s="37" t="str">
        <f t="shared" si="2"/>
        <v/>
      </c>
      <c r="Q13" s="37" t="str">
        <f t="shared" si="2"/>
        <v/>
      </c>
      <c r="R13" s="37" t="str">
        <f t="shared" si="2"/>
        <v/>
      </c>
      <c r="S13" s="37" t="str">
        <f t="shared" si="2"/>
        <v/>
      </c>
      <c r="T13" s="40">
        <v>8</v>
      </c>
      <c r="U13" s="34">
        <v>10</v>
      </c>
      <c r="V13" s="34">
        <v>5</v>
      </c>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row>
    <row r="14" spans="1:50" s="7" customFormat="1" x14ac:dyDescent="0.2">
      <c r="A14" s="34">
        <v>1</v>
      </c>
      <c r="B14" s="35" t="s">
        <v>51</v>
      </c>
      <c r="C14" s="36"/>
      <c r="D14" s="36"/>
      <c r="E14" s="36"/>
      <c r="F14" s="36"/>
      <c r="G14" s="36"/>
      <c r="H14" s="36">
        <f>IFERROR(VLOOKUP(Trackerdata[[#This Row],[Name]],AbsentTardyTable[[Student]:[Lates]],2,FALSE),"No match")</f>
        <v>2</v>
      </c>
      <c r="I14" s="36">
        <f>IFERROR(VLOOKUP(Trackerdata[[#This Row],[Name]],AbsentTardyTable[[Student]:[Lates]],3,FALSE),"No match")</f>
        <v>0</v>
      </c>
      <c r="J14" s="36"/>
      <c r="K14" s="37">
        <f>IFERROR(Trackerdata[[#This Row],[Total Points]]/Trackerdata[[#This Row],[Total Possible Points]]*100,"")</f>
        <v>100</v>
      </c>
      <c r="L14" s="37">
        <f t="shared" si="0"/>
        <v>15</v>
      </c>
      <c r="M14" s="38">
        <f t="shared" si="1"/>
        <v>15</v>
      </c>
      <c r="N14" s="39">
        <f t="shared" si="2"/>
        <v>100</v>
      </c>
      <c r="O14" s="37" t="str">
        <f t="shared" si="2"/>
        <v/>
      </c>
      <c r="P14" s="37" t="str">
        <f t="shared" si="2"/>
        <v/>
      </c>
      <c r="Q14" s="37" t="str">
        <f t="shared" si="2"/>
        <v/>
      </c>
      <c r="R14" s="37" t="str">
        <f t="shared" si="2"/>
        <v/>
      </c>
      <c r="S14" s="37" t="str">
        <f t="shared" si="2"/>
        <v/>
      </c>
      <c r="T14" s="40">
        <v>10</v>
      </c>
      <c r="U14" s="34" t="s">
        <v>52</v>
      </c>
      <c r="V14" s="34">
        <v>5</v>
      </c>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row>
    <row r="15" spans="1:50" s="7" customFormat="1" x14ac:dyDescent="0.2">
      <c r="A15" s="34">
        <v>1</v>
      </c>
      <c r="B15" s="35" t="s">
        <v>53</v>
      </c>
      <c r="C15" s="36"/>
      <c r="D15" s="36"/>
      <c r="E15" s="36"/>
      <c r="F15" s="36"/>
      <c r="G15" s="36"/>
      <c r="H15" s="36">
        <f>IFERROR(VLOOKUP(Trackerdata[[#This Row],[Name]],AbsentTardyTable[[Student]:[Lates]],2,FALSE),"No match")</f>
        <v>0</v>
      </c>
      <c r="I15" s="36">
        <f>IFERROR(VLOOKUP(Trackerdata[[#This Row],[Name]],AbsentTardyTable[[Student]:[Lates]],3,FALSE),"No match")</f>
        <v>0</v>
      </c>
      <c r="J15" s="36"/>
      <c r="K15" s="37">
        <f>IFERROR(Trackerdata[[#This Row],[Total Points]]/Trackerdata[[#This Row],[Total Possible Points]]*100,"")</f>
        <v>96.666666666666671</v>
      </c>
      <c r="L15" s="37">
        <f t="shared" si="0"/>
        <v>29</v>
      </c>
      <c r="M15" s="38">
        <f t="shared" si="1"/>
        <v>30</v>
      </c>
      <c r="N15" s="39">
        <f t="shared" si="2"/>
        <v>93.333333333333329</v>
      </c>
      <c r="O15" s="37">
        <f t="shared" si="2"/>
        <v>100</v>
      </c>
      <c r="P15" s="37" t="str">
        <f t="shared" si="2"/>
        <v/>
      </c>
      <c r="Q15" s="37" t="str">
        <f t="shared" si="2"/>
        <v/>
      </c>
      <c r="R15" s="37" t="str">
        <f t="shared" si="2"/>
        <v/>
      </c>
      <c r="S15" s="37" t="str">
        <f t="shared" si="2"/>
        <v/>
      </c>
      <c r="T15" s="40">
        <v>10</v>
      </c>
      <c r="U15" s="34">
        <v>15</v>
      </c>
      <c r="V15" s="34">
        <v>4</v>
      </c>
      <c r="W15" s="34"/>
      <c r="X15" s="34"/>
      <c r="Y15" s="34"/>
      <c r="Z15" s="34"/>
      <c r="AA15" s="34"/>
      <c r="AB15" s="34"/>
      <c r="AC15" s="34"/>
      <c r="AD15" s="34"/>
      <c r="AE15" s="34"/>
      <c r="AF15" s="34"/>
      <c r="AG15" s="34"/>
      <c r="AH15" s="34"/>
      <c r="AI15" s="34"/>
      <c r="AJ15" s="34"/>
      <c r="AK15" s="34"/>
      <c r="AL15" s="34"/>
      <c r="AM15" s="34"/>
      <c r="AN15" s="34"/>
      <c r="AO15" s="34"/>
      <c r="AP15" s="41"/>
      <c r="AQ15" s="41"/>
      <c r="AR15" s="41"/>
      <c r="AS15" s="41"/>
      <c r="AT15" s="41"/>
      <c r="AU15" s="41"/>
      <c r="AV15" s="41"/>
      <c r="AW15" s="41"/>
    </row>
    <row r="16" spans="1:50" s="7" customFormat="1" x14ac:dyDescent="0.2">
      <c r="A16" s="34">
        <v>1</v>
      </c>
      <c r="B16" s="35" t="s">
        <v>54</v>
      </c>
      <c r="C16" s="36"/>
      <c r="D16" s="36"/>
      <c r="E16" s="36"/>
      <c r="F16" s="36"/>
      <c r="G16" s="36"/>
      <c r="H16" s="36">
        <f>IFERROR(VLOOKUP(Trackerdata[[#This Row],[Name]],AbsentTardyTable[[Student]:[Lates]],2,FALSE),"No match")</f>
        <v>0</v>
      </c>
      <c r="I16" s="36">
        <f>IFERROR(VLOOKUP(Trackerdata[[#This Row],[Name]],AbsentTardyTable[[Student]:[Lates]],3,FALSE),"No match")</f>
        <v>0</v>
      </c>
      <c r="J16" s="36"/>
      <c r="K16" s="37">
        <f>IFERROR(Trackerdata[[#This Row],[Total Points]]/Trackerdata[[#This Row],[Total Possible Points]]*100,"")</f>
        <v>0</v>
      </c>
      <c r="L16" s="37">
        <f t="shared" si="0"/>
        <v>0</v>
      </c>
      <c r="M16" s="38">
        <f t="shared" si="1"/>
        <v>30</v>
      </c>
      <c r="N16" s="39">
        <f t="shared" si="2"/>
        <v>0</v>
      </c>
      <c r="O16" s="37">
        <f t="shared" si="2"/>
        <v>0</v>
      </c>
      <c r="P16" s="37" t="str">
        <f t="shared" si="2"/>
        <v/>
      </c>
      <c r="Q16" s="37" t="str">
        <f t="shared" si="2"/>
        <v/>
      </c>
      <c r="R16" s="37" t="str">
        <f t="shared" si="2"/>
        <v/>
      </c>
      <c r="S16" s="37" t="str">
        <f t="shared" si="2"/>
        <v/>
      </c>
      <c r="T16" s="40"/>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row>
    <row r="17" spans="1:49" s="7" customFormat="1" x14ac:dyDescent="0.2">
      <c r="A17" s="34">
        <v>1</v>
      </c>
      <c r="B17" s="35" t="s">
        <v>55</v>
      </c>
      <c r="C17" s="36"/>
      <c r="D17" s="36"/>
      <c r="E17" s="36"/>
      <c r="F17" s="36"/>
      <c r="G17" s="36"/>
      <c r="H17" s="36">
        <f>IFERROR(VLOOKUP(Trackerdata[[#This Row],[Name]],AbsentTardyTable[[Student]:[Lates]],2,FALSE),"No match")</f>
        <v>0</v>
      </c>
      <c r="I17" s="36">
        <f>IFERROR(VLOOKUP(Trackerdata[[#This Row],[Name]],AbsentTardyTable[[Student]:[Lates]],3,FALSE),"No match")</f>
        <v>0</v>
      </c>
      <c r="J17" s="36"/>
      <c r="K17" s="37">
        <f>IFERROR(Trackerdata[[#This Row],[Total Points]]/Trackerdata[[#This Row],[Total Possible Points]]*100,"")</f>
        <v>0</v>
      </c>
      <c r="L17" s="37">
        <f t="shared" si="0"/>
        <v>0</v>
      </c>
      <c r="M17" s="38">
        <f t="shared" si="1"/>
        <v>30</v>
      </c>
      <c r="N17" s="39">
        <f t="shared" si="2"/>
        <v>0</v>
      </c>
      <c r="O17" s="37">
        <f t="shared" si="2"/>
        <v>0</v>
      </c>
      <c r="P17" s="37" t="str">
        <f t="shared" si="2"/>
        <v/>
      </c>
      <c r="Q17" s="37" t="str">
        <f t="shared" si="2"/>
        <v/>
      </c>
      <c r="R17" s="37" t="str">
        <f t="shared" si="2"/>
        <v/>
      </c>
      <c r="S17" s="37" t="str">
        <f t="shared" si="2"/>
        <v/>
      </c>
      <c r="T17" s="40"/>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row>
    <row r="18" spans="1:49" s="7" customFormat="1" x14ac:dyDescent="0.2">
      <c r="A18" s="34">
        <v>1</v>
      </c>
      <c r="B18" s="35" t="s">
        <v>56</v>
      </c>
      <c r="C18" s="36"/>
      <c r="D18" s="36"/>
      <c r="E18" s="36"/>
      <c r="F18" s="36"/>
      <c r="G18" s="36"/>
      <c r="H18" s="36">
        <f>IFERROR(VLOOKUP(Trackerdata[[#This Row],[Name]],AbsentTardyTable[[Student]:[Lates]],2,FALSE),"No match")</f>
        <v>0</v>
      </c>
      <c r="I18" s="36">
        <f>IFERROR(VLOOKUP(Trackerdata[[#This Row],[Name]],AbsentTardyTable[[Student]:[Lates]],3,FALSE),"No match")</f>
        <v>0</v>
      </c>
      <c r="J18" s="36"/>
      <c r="K18" s="37">
        <f>IFERROR(Trackerdata[[#This Row],[Total Points]]/Trackerdata[[#This Row],[Total Possible Points]]*100,"")</f>
        <v>0</v>
      </c>
      <c r="L18" s="37">
        <f t="shared" si="0"/>
        <v>0</v>
      </c>
      <c r="M18" s="38">
        <f t="shared" si="1"/>
        <v>30</v>
      </c>
      <c r="N18" s="39">
        <f t="shared" si="2"/>
        <v>0</v>
      </c>
      <c r="O18" s="37">
        <f t="shared" si="2"/>
        <v>0</v>
      </c>
      <c r="P18" s="37" t="str">
        <f t="shared" si="2"/>
        <v/>
      </c>
      <c r="Q18" s="37" t="str">
        <f t="shared" si="2"/>
        <v/>
      </c>
      <c r="R18" s="37" t="str">
        <f t="shared" si="2"/>
        <v/>
      </c>
      <c r="S18" s="37" t="str">
        <f t="shared" si="2"/>
        <v/>
      </c>
      <c r="T18" s="40"/>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row>
    <row r="19" spans="1:49" s="7" customFormat="1" x14ac:dyDescent="0.2">
      <c r="A19" s="34">
        <v>1</v>
      </c>
      <c r="B19" s="35" t="s">
        <v>57</v>
      </c>
      <c r="C19" s="36"/>
      <c r="D19" s="36"/>
      <c r="E19" s="36"/>
      <c r="F19" s="36"/>
      <c r="G19" s="36"/>
      <c r="H19" s="36">
        <f>IFERROR(VLOOKUP(Trackerdata[[#This Row],[Name]],AbsentTardyTable[[Student]:[Lates]],2,FALSE),"No match")</f>
        <v>0</v>
      </c>
      <c r="I19" s="36">
        <f>IFERROR(VLOOKUP(Trackerdata[[#This Row],[Name]],AbsentTardyTable[[Student]:[Lates]],3,FALSE),"No match")</f>
        <v>0</v>
      </c>
      <c r="J19" s="36"/>
      <c r="K19" s="37">
        <f>IFERROR(Trackerdata[[#This Row],[Total Points]]/Trackerdata[[#This Row],[Total Possible Points]]*100,"")</f>
        <v>0</v>
      </c>
      <c r="L19" s="37">
        <f t="shared" si="0"/>
        <v>0</v>
      </c>
      <c r="M19" s="38">
        <f t="shared" si="1"/>
        <v>30</v>
      </c>
      <c r="N19" s="39">
        <f t="shared" si="2"/>
        <v>0</v>
      </c>
      <c r="O19" s="37">
        <f t="shared" si="2"/>
        <v>0</v>
      </c>
      <c r="P19" s="37" t="str">
        <f t="shared" si="2"/>
        <v/>
      </c>
      <c r="Q19" s="37" t="str">
        <f t="shared" si="2"/>
        <v/>
      </c>
      <c r="R19" s="37" t="str">
        <f t="shared" si="2"/>
        <v/>
      </c>
      <c r="S19" s="37" t="str">
        <f t="shared" si="2"/>
        <v/>
      </c>
      <c r="T19" s="40"/>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row>
    <row r="20" spans="1:49" x14ac:dyDescent="0.2">
      <c r="A20" s="42">
        <v>1</v>
      </c>
      <c r="B20" s="43" t="s">
        <v>58</v>
      </c>
      <c r="C20" s="44"/>
      <c r="D20" s="44"/>
      <c r="E20" s="44"/>
      <c r="F20" s="44"/>
      <c r="G20" s="44"/>
      <c r="H20" s="44">
        <f>IFERROR(VLOOKUP(Trackerdata[[#This Row],[Name]],AbsentTardyTable[[Student]:[Lates]],2,FALSE),"No match")</f>
        <v>0</v>
      </c>
      <c r="I20" s="44">
        <f>IFERROR(VLOOKUP(Trackerdata[[#This Row],[Name]],AbsentTardyTable[[Student]:[Lates]],3,FALSE),"No match")</f>
        <v>0</v>
      </c>
      <c r="J20" s="44"/>
      <c r="K20" s="45">
        <f>IFERROR(Trackerdata[[#This Row],[Total Points]]/Trackerdata[[#This Row],[Total Possible Points]]*100,"")</f>
        <v>0</v>
      </c>
      <c r="L20" s="45">
        <f t="shared" si="0"/>
        <v>0</v>
      </c>
      <c r="M20" s="46">
        <f t="shared" si="1"/>
        <v>30</v>
      </c>
      <c r="N20" s="47">
        <f t="shared" si="2"/>
        <v>0</v>
      </c>
      <c r="O20" s="48">
        <f t="shared" si="2"/>
        <v>0</v>
      </c>
      <c r="P20" s="48" t="str">
        <f t="shared" si="2"/>
        <v/>
      </c>
      <c r="Q20" s="48" t="str">
        <f t="shared" si="2"/>
        <v/>
      </c>
      <c r="R20" s="48" t="str">
        <f t="shared" si="2"/>
        <v/>
      </c>
      <c r="S20" s="48" t="str">
        <f t="shared" si="2"/>
        <v/>
      </c>
      <c r="T20" s="49"/>
      <c r="U20" s="50"/>
      <c r="V20" s="42"/>
      <c r="W20" s="42"/>
      <c r="X20" s="50"/>
      <c r="Y20" s="50"/>
      <c r="Z20" s="42"/>
      <c r="AA20" s="42"/>
      <c r="AB20" s="50"/>
      <c r="AC20" s="50"/>
      <c r="AD20" s="50"/>
      <c r="AE20" s="50"/>
      <c r="AF20" s="50"/>
      <c r="AG20" s="50"/>
      <c r="AH20" s="50"/>
      <c r="AI20" s="50"/>
      <c r="AJ20" s="50"/>
      <c r="AK20" s="50"/>
      <c r="AL20" s="50"/>
      <c r="AM20" s="50"/>
      <c r="AN20" s="50"/>
      <c r="AO20" s="50"/>
      <c r="AP20" s="50"/>
      <c r="AQ20" s="50"/>
      <c r="AR20" s="50"/>
      <c r="AS20" s="50"/>
      <c r="AT20" s="50"/>
      <c r="AU20" s="50"/>
      <c r="AV20" s="50"/>
      <c r="AW20" s="50"/>
    </row>
    <row r="21" spans="1:49" x14ac:dyDescent="0.2">
      <c r="A21" s="42">
        <v>1</v>
      </c>
      <c r="B21" s="43" t="s">
        <v>59</v>
      </c>
      <c r="C21" s="44"/>
      <c r="D21" s="44"/>
      <c r="E21" s="44"/>
      <c r="F21" s="44"/>
      <c r="G21" s="44"/>
      <c r="H21" s="44">
        <f>IFERROR(VLOOKUP(Trackerdata[[#This Row],[Name]],AbsentTardyTable[[Student]:[Lates]],2,FALSE),"No match")</f>
        <v>0</v>
      </c>
      <c r="I21" s="44">
        <f>IFERROR(VLOOKUP(Trackerdata[[#This Row],[Name]],AbsentTardyTable[[Student]:[Lates]],3,FALSE),"No match")</f>
        <v>0</v>
      </c>
      <c r="J21" s="44"/>
      <c r="K21" s="45">
        <f>IFERROR(Trackerdata[[#This Row],[Total Points]]/Trackerdata[[#This Row],[Total Possible Points]]*100,"")</f>
        <v>0</v>
      </c>
      <c r="L21" s="45">
        <f t="shared" si="0"/>
        <v>0</v>
      </c>
      <c r="M21" s="46">
        <f t="shared" si="1"/>
        <v>30</v>
      </c>
      <c r="N21" s="47">
        <f t="shared" si="2"/>
        <v>0</v>
      </c>
      <c r="O21" s="48">
        <f t="shared" si="2"/>
        <v>0</v>
      </c>
      <c r="P21" s="48" t="str">
        <f t="shared" si="2"/>
        <v/>
      </c>
      <c r="Q21" s="48" t="str">
        <f t="shared" si="2"/>
        <v/>
      </c>
      <c r="R21" s="48" t="str">
        <f t="shared" si="2"/>
        <v/>
      </c>
      <c r="S21" s="48" t="str">
        <f t="shared" si="2"/>
        <v/>
      </c>
      <c r="T21" s="49"/>
      <c r="U21" s="50"/>
      <c r="V21" s="42"/>
      <c r="W21" s="42"/>
      <c r="X21" s="50"/>
      <c r="Y21" s="50"/>
      <c r="Z21" s="42"/>
      <c r="AA21" s="42"/>
      <c r="AB21" s="50"/>
      <c r="AC21" s="50"/>
      <c r="AD21" s="50"/>
      <c r="AE21" s="50"/>
      <c r="AF21" s="50"/>
      <c r="AG21" s="50"/>
      <c r="AH21" s="50"/>
      <c r="AI21" s="50"/>
      <c r="AJ21" s="50"/>
      <c r="AK21" s="50"/>
      <c r="AL21" s="50"/>
      <c r="AM21" s="50"/>
      <c r="AN21" s="50"/>
      <c r="AO21" s="50"/>
      <c r="AP21" s="50"/>
      <c r="AQ21" s="50"/>
      <c r="AR21" s="50"/>
      <c r="AS21" s="50"/>
      <c r="AT21" s="50"/>
      <c r="AU21" s="50"/>
      <c r="AV21" s="50"/>
      <c r="AW21" s="50"/>
    </row>
  </sheetData>
  <conditionalFormatting sqref="T3:AW3">
    <cfRule type="expression" dxfId="10" priority="7">
      <formula>AND(T$1="",T$2="")</formula>
    </cfRule>
    <cfRule type="expression" dxfId="9" priority="8">
      <formula>IF(AND(T$2&lt;&gt;"",T3=""),1,0)</formula>
    </cfRule>
  </conditionalFormatting>
  <conditionalFormatting sqref="T12:AW21">
    <cfRule type="expression" dxfId="8" priority="9">
      <formula>IFERROR(AND(IF(T12/T$2*100&lt;GradeGoal,1,""),(ColorTable="yes"),T12&lt;&gt;""),"")</formula>
    </cfRule>
    <cfRule type="expression" dxfId="7" priority="10">
      <formula>IFERROR(AND(IF(T12/T$2*100&gt;=GradeGoal,1,""),(ColorTable="yes")),"")</formula>
    </cfRule>
  </conditionalFormatting>
  <conditionalFormatting sqref="K12:K21">
    <cfRule type="expression" dxfId="6" priority="5">
      <formula>IFERROR(AND(IF($K12&gt;=GradeGoal,1,""),(ColorTable="yes"),$K12&lt;&gt;""),"")</formula>
    </cfRule>
    <cfRule type="expression" dxfId="5" priority="6">
      <formula>IFERROR(AND(IF($K12&lt;GradeGoal,1,""),(ColorTable="yes"),$K12&lt;&gt;""),"")</formula>
    </cfRule>
  </conditionalFormatting>
  <conditionalFormatting sqref="N12:S21">
    <cfRule type="expression" dxfId="4" priority="3">
      <formula>IFERROR(AND(IF(N12&gt;=GradeGoal,1,""),(ColorTable="yes"),N12&lt;&gt;""),"")</formula>
    </cfRule>
    <cfRule type="expression" dxfId="3" priority="4">
      <formula>IFERROR(AND(IF(N12&lt;GradeGoal,1,""),(ColorTable="yes"),N12&lt;&gt;""),"")</formula>
    </cfRule>
  </conditionalFormatting>
  <conditionalFormatting sqref="T2:AW2">
    <cfRule type="expression" dxfId="2" priority="2">
      <formula>IF(AND(T$2="",SUM(T$6:T$10)&lt;&gt;0),1,0)</formula>
    </cfRule>
  </conditionalFormatting>
  <conditionalFormatting sqref="T11:AW11">
    <cfRule type="expression" dxfId="1" priority="1">
      <formula>IF(AND(OR(T$2="",T$3=""),SUM(T$6:T$10)&lt;&gt;0),1,0)</formula>
    </cfRule>
  </conditionalFormatting>
  <dataValidations count="3">
    <dataValidation type="list" errorStyle="information" allowBlank="1" showInputMessage="1" showErrorMessage="1" errorTitle="Use Consistent Names Here" error="You want the assessment type names to be *perfectly* consistent._x000a__x000a_Did you want to customize the assessment types? _x000a_Then click the plus box to edit columns N-S._x000a__x000a_Just click ok and either retype it or edit the assessment types." sqref="T1:AW1">
      <formula1>$N$11:$S$11</formula1>
    </dataValidation>
    <dataValidation errorStyle="information" allowBlank="1" showInputMessage="1" showErrorMessage="1" errorTitle="Invalid Category" error="Please enter &quot;Grade&quot;, &quot;Mastery&quot;, or &quot;Helper&quot;._x000a__x000a_These categories help to calculate summary information." sqref="T2:AW2"/>
    <dataValidation type="list" allowBlank="1" sqref="A12:A21">
      <formula1>"1,2,3,4,5,6,7,8,9,10"</formula1>
    </dataValidation>
  </dataValidations>
  <pageMargins left="0.7" right="0.7" top="0.75" bottom="0.75" header="0.3" footer="0.3"/>
  <drawing r:id="rId1"/>
  <tableParts count="1">
    <tablePart r:id="rId2"/>
  </tableParts>
  <extLst>
    <ext xmlns:x14="http://schemas.microsoft.com/office/spreadsheetml/2009/9/main" uri="{05C60535-1F16-4fd2-B633-F4F36F0B64E0}">
      <x14:sparklineGroups xmlns:xm="http://schemas.microsoft.com/office/excel/2006/main">
        <x14:sparklineGroup manualMin="0" type="column" displayEmptyCellsAs="gap" displayXAxis="1" displayHidden="1" minAxisType="custom" rightToLeft="1">
          <x14:colorSeries rgb="FF376092"/>
          <x14:colorNegative rgb="FFD00000"/>
          <x14:colorAxis rgb="FF000000"/>
          <x14:colorMarkers rgb="FFD00000"/>
          <x14:colorFirst rgb="FFD00000"/>
          <x14:colorLast rgb="FFD00000"/>
          <x14:colorHigh rgb="FFD00000"/>
          <x14:colorLow rgb="FFD00000"/>
          <x14:sparklines>
            <x14:sparkline>
              <xm:f>'Data Entry'!K6:K10</xm:f>
              <xm:sqref>K5</xm:sqref>
            </x14:sparkline>
            <x14:sparkline>
              <xm:f>'Data Entry'!L6:L10</xm:f>
              <xm:sqref>L5</xm:sqref>
            </x14:sparkline>
            <x14:sparkline>
              <xm:f>'Data Entry'!M6:M10</xm:f>
              <xm:sqref>M5</xm:sqref>
            </x14:sparkline>
            <x14:sparkline>
              <xm:f>'Data Entry'!N6:N10</xm:f>
              <xm:sqref>N5</xm:sqref>
            </x14:sparkline>
            <x14:sparkline>
              <xm:f>'Data Entry'!O6:O10</xm:f>
              <xm:sqref>O5</xm:sqref>
            </x14:sparkline>
            <x14:sparkline>
              <xm:f>'Data Entry'!P6:P10</xm:f>
              <xm:sqref>P5</xm:sqref>
            </x14:sparkline>
            <x14:sparkline>
              <xm:f>'Data Entry'!Q6:Q10</xm:f>
              <xm:sqref>Q5</xm:sqref>
            </x14:sparkline>
            <x14:sparkline>
              <xm:f>'Data Entry'!R6:R10</xm:f>
              <xm:sqref>R5</xm:sqref>
            </x14:sparkline>
            <x14:sparkline>
              <xm:f>'Data Entry'!S6:S10</xm:f>
              <xm:sqref>S5</xm:sqref>
            </x14:sparkline>
            <x14:sparkline>
              <xm:f>'Data Entry'!T6:T10</xm:f>
              <xm:sqref>T5</xm:sqref>
            </x14:sparkline>
            <x14:sparkline>
              <xm:f>'Data Entry'!U6:U10</xm:f>
              <xm:sqref>U5</xm:sqref>
            </x14:sparkline>
            <x14:sparkline>
              <xm:f>'Data Entry'!V6:V10</xm:f>
              <xm:sqref>V5</xm:sqref>
            </x14:sparkline>
            <x14:sparkline>
              <xm:f>'Data Entry'!W6:W10</xm:f>
              <xm:sqref>W5</xm:sqref>
            </x14:sparkline>
            <x14:sparkline>
              <xm:f>'Data Entry'!X6:X10</xm:f>
              <xm:sqref>X5</xm:sqref>
            </x14:sparkline>
            <x14:sparkline>
              <xm:f>'Data Entry'!Y6:Y10</xm:f>
              <xm:sqref>Y5</xm:sqref>
            </x14:sparkline>
            <x14:sparkline>
              <xm:f>'Data Entry'!Z6:Z10</xm:f>
              <xm:sqref>Z5</xm:sqref>
            </x14:sparkline>
            <x14:sparkline>
              <xm:f>'Data Entry'!AA6:AA10</xm:f>
              <xm:sqref>AA5</xm:sqref>
            </x14:sparkline>
            <x14:sparkline>
              <xm:f>'Data Entry'!AB6:AB10</xm:f>
              <xm:sqref>AB5</xm:sqref>
            </x14:sparkline>
            <x14:sparkline>
              <xm:f>'Data Entry'!AC6:AC10</xm:f>
              <xm:sqref>AC5</xm:sqref>
            </x14:sparkline>
            <x14:sparkline>
              <xm:f>'Data Entry'!AD6:AD10</xm:f>
              <xm:sqref>AD5</xm:sqref>
            </x14:sparkline>
            <x14:sparkline>
              <xm:f>'Data Entry'!AE6:AE10</xm:f>
              <xm:sqref>AE5</xm:sqref>
            </x14:sparkline>
            <x14:sparkline>
              <xm:f>'Data Entry'!AF6:AF10</xm:f>
              <xm:sqref>AF5</xm:sqref>
            </x14:sparkline>
            <x14:sparkline>
              <xm:f>'Data Entry'!AG6:AG10</xm:f>
              <xm:sqref>AG5</xm:sqref>
            </x14:sparkline>
            <x14:sparkline>
              <xm:f>'Data Entry'!AH6:AH10</xm:f>
              <xm:sqref>AH5</xm:sqref>
            </x14:sparkline>
            <x14:sparkline>
              <xm:f>'Data Entry'!AI6:AI10</xm:f>
              <xm:sqref>AI5</xm:sqref>
            </x14:sparkline>
            <x14:sparkline>
              <xm:f>'Data Entry'!AJ6:AJ10</xm:f>
              <xm:sqref>AJ5</xm:sqref>
            </x14:sparkline>
            <x14:sparkline>
              <xm:f>'Data Entry'!AK6:AK10</xm:f>
              <xm:sqref>AK5</xm:sqref>
            </x14:sparkline>
            <x14:sparkline>
              <xm:f>'Data Entry'!AL6:AL10</xm:f>
              <xm:sqref>AL5</xm:sqref>
            </x14:sparkline>
            <x14:sparkline>
              <xm:f>'Data Entry'!AM6:AM10</xm:f>
              <xm:sqref>AM5</xm:sqref>
            </x14:sparkline>
            <x14:sparkline>
              <xm:f>'Data Entry'!AN6:AN10</xm:f>
              <xm:sqref>AN5</xm:sqref>
            </x14:sparkline>
            <x14:sparkline>
              <xm:f>'Data Entry'!AO6:AO10</xm:f>
              <xm:sqref>AO5</xm:sqref>
            </x14:sparkline>
            <x14:sparkline>
              <xm:f>'Data Entry'!AP6:AP10</xm:f>
              <xm:sqref>AP5</xm:sqref>
            </x14:sparkline>
            <x14:sparkline>
              <xm:f>'Data Entry'!AQ6:AQ10</xm:f>
              <xm:sqref>AQ5</xm:sqref>
            </x14:sparkline>
            <x14:sparkline>
              <xm:f>'Data Entry'!AR6:AR10</xm:f>
              <xm:sqref>AR5</xm:sqref>
            </x14:sparkline>
            <x14:sparkline>
              <xm:f>'Data Entry'!AS6:AS10</xm:f>
              <xm:sqref>AS5</xm:sqref>
            </x14:sparkline>
            <x14:sparkline>
              <xm:f>'Data Entry'!AT6:AT10</xm:f>
              <xm:sqref>AT5</xm:sqref>
            </x14:sparkline>
            <x14:sparkline>
              <xm:f>'Data Entry'!AU6:AU10</xm:f>
              <xm:sqref>AU5</xm:sqref>
            </x14:sparkline>
            <x14:sparkline>
              <xm:f>'Data Entry'!AV6:AV10</xm:f>
              <xm:sqref>AV5</xm:sqref>
            </x14:sparkline>
            <x14:sparkline>
              <xm:f>'Data Entry'!AW6:AW10</xm:f>
              <xm:sqref>AW5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D26"/>
  <sheetViews>
    <sheetView zoomScaleNormal="100" workbookViewId="0"/>
  </sheetViews>
  <sheetFormatPr defaultRowHeight="15" x14ac:dyDescent="0.25"/>
  <cols>
    <col min="1" max="1" width="20" bestFit="1" customWidth="1"/>
    <col min="2" max="2" width="9.5703125" customWidth="1"/>
    <col min="3" max="3" width="8.7109375" customWidth="1"/>
    <col min="4" max="4" width="69.7109375" customWidth="1"/>
  </cols>
  <sheetData>
    <row r="1" spans="1:4" ht="23.25" x14ac:dyDescent="0.35">
      <c r="A1" s="52" t="s">
        <v>60</v>
      </c>
      <c r="B1" s="52"/>
      <c r="C1" s="52"/>
      <c r="D1" s="52"/>
    </row>
    <row r="3" spans="1:4" x14ac:dyDescent="0.25">
      <c r="A3" s="53" t="s">
        <v>61</v>
      </c>
      <c r="B3" s="54"/>
      <c r="C3" s="54"/>
      <c r="D3" s="54"/>
    </row>
    <row r="4" spans="1:4" x14ac:dyDescent="0.25">
      <c r="A4" s="54" t="s">
        <v>62</v>
      </c>
      <c r="B4" s="55" t="s">
        <v>63</v>
      </c>
      <c r="C4" s="56">
        <f t="shared" ref="C4" si="0">IF(B4="Yes",1,0)</f>
        <v>1</v>
      </c>
      <c r="D4" s="57" t="s">
        <v>83</v>
      </c>
    </row>
    <row r="5" spans="1:4" x14ac:dyDescent="0.25">
      <c r="A5" s="54" t="s">
        <v>64</v>
      </c>
      <c r="B5" s="55">
        <v>85</v>
      </c>
      <c r="C5" s="54">
        <f>GradeGoal</f>
        <v>85</v>
      </c>
      <c r="D5" s="57" t="s">
        <v>82</v>
      </c>
    </row>
    <row r="6" spans="1:4" x14ac:dyDescent="0.25">
      <c r="D6" s="58"/>
    </row>
    <row r="7" spans="1:4" x14ac:dyDescent="0.25">
      <c r="D7" s="58"/>
    </row>
    <row r="8" spans="1:4" x14ac:dyDescent="0.25">
      <c r="D8" s="58"/>
    </row>
    <row r="9" spans="1:4" x14ac:dyDescent="0.25">
      <c r="A9" s="53" t="s">
        <v>65</v>
      </c>
      <c r="B9" s="54"/>
      <c r="C9" s="54"/>
      <c r="D9" s="54"/>
    </row>
    <row r="10" spans="1:4" x14ac:dyDescent="0.25">
      <c r="A10" s="54" t="s">
        <v>66</v>
      </c>
      <c r="B10" s="59" t="s">
        <v>67</v>
      </c>
      <c r="C10" s="56">
        <f t="shared" ref="C10:C19" si="1">IF(B10="Yes",1,0)</f>
        <v>0</v>
      </c>
      <c r="D10" s="57" t="str">
        <f>IF(B10="No","Change Excel's main settings to autosave every 3-5 minutes","Perfect! Also remember to backup")</f>
        <v>Change Excel's main settings to autosave every 3-5 minutes</v>
      </c>
    </row>
    <row r="11" spans="1:4" x14ac:dyDescent="0.25">
      <c r="A11" s="54" t="s">
        <v>68</v>
      </c>
      <c r="B11" s="59" t="s">
        <v>67</v>
      </c>
      <c r="C11" s="56">
        <f t="shared" si="1"/>
        <v>0</v>
      </c>
      <c r="D11" s="57" t="str">
        <f>IF(B11="No","Click in the table, and under table options in the ribbon, click total row","Perfect! You can add additional 'total rows' using formulas.")</f>
        <v>Click in the table, and under table options in the ribbon, click total row</v>
      </c>
    </row>
    <row r="12" spans="1:4" x14ac:dyDescent="0.25">
      <c r="A12" s="54" t="s">
        <v>69</v>
      </c>
      <c r="B12" s="59" t="s">
        <v>67</v>
      </c>
      <c r="C12" s="56">
        <f t="shared" si="1"/>
        <v>0</v>
      </c>
      <c r="D12" s="57" t="str">
        <f>IF(B12="No","Click on the plus box above column K","Perfect! Now you can graph data based on subgroups of students")</f>
        <v>Click on the plus box above column K</v>
      </c>
    </row>
    <row r="13" spans="1:4" x14ac:dyDescent="0.25">
      <c r="A13" s="54" t="s">
        <v>70</v>
      </c>
      <c r="B13" s="59" t="s">
        <v>67</v>
      </c>
      <c r="C13" s="56">
        <f t="shared" si="1"/>
        <v>0</v>
      </c>
      <c r="D13" s="57" t="str">
        <f>IF(B13="No","Click on the dropdown boxes in the header row of the main table","Perfect! Consider sorting by score or filtering by class.")</f>
        <v>Click on the dropdown boxes in the header row of the main table</v>
      </c>
    </row>
    <row r="14" spans="1:4" x14ac:dyDescent="0.25">
      <c r="A14" s="54" t="s">
        <v>71</v>
      </c>
      <c r="B14" s="59" t="s">
        <v>67</v>
      </c>
      <c r="C14" s="56">
        <f t="shared" si="1"/>
        <v>0</v>
      </c>
      <c r="D14" s="57" t="str">
        <f>IF(B14="No","Helper columns are useful for retakes, notes, and curving grades","Simply weight a column by 0%. To curve: use a formula in an adjacent column")</f>
        <v>Helper columns are useful for retakes, notes, and curving grades</v>
      </c>
    </row>
    <row r="15" spans="1:4" x14ac:dyDescent="0.25">
      <c r="A15" s="54" t="s">
        <v>72</v>
      </c>
      <c r="B15" s="59" t="s">
        <v>67</v>
      </c>
      <c r="C15" s="56">
        <f t="shared" si="1"/>
        <v>0</v>
      </c>
      <c r="D15" s="57" t="str">
        <f>IF(B15="No","Use zero points and say 100% weight","Perfect! They'll appreciate it")</f>
        <v>Use zero points and say 100% weight</v>
      </c>
    </row>
    <row r="16" spans="1:4" x14ac:dyDescent="0.25">
      <c r="A16" s="54" t="s">
        <v>73</v>
      </c>
      <c r="B16" s="59" t="s">
        <v>67</v>
      </c>
      <c r="C16" s="56">
        <f t="shared" si="1"/>
        <v>0</v>
      </c>
      <c r="D16" s="57" t="str">
        <f>IF(B16="Yes","*Unhide* the Absences sheet by right clicking on the sheet tabs","This is completely optional, but a hidden sheet is built in")</f>
        <v>This is completely optional, but a hidden sheet is built in</v>
      </c>
    </row>
    <row r="17" spans="1:4" x14ac:dyDescent="0.25">
      <c r="A17" s="54" t="s">
        <v>74</v>
      </c>
      <c r="B17" s="59" t="s">
        <v>67</v>
      </c>
      <c r="C17" s="56">
        <f t="shared" si="1"/>
        <v>0</v>
      </c>
      <c r="D17" s="57" t="str">
        <f>IF(B17="No","Under Page Layout in the ribbon, change the color scheme","Cool! Hope you like the new colors")</f>
        <v>Under Page Layout in the ribbon, change the color scheme</v>
      </c>
    </row>
    <row r="18" spans="1:4" x14ac:dyDescent="0.25">
      <c r="A18" s="54" t="s">
        <v>473</v>
      </c>
      <c r="B18" s="59" t="s">
        <v>67</v>
      </c>
      <c r="C18" s="56">
        <f t="shared" si="1"/>
        <v>0</v>
      </c>
      <c r="D18" s="57" t="str">
        <f>IF(B18="No","Change the 'sparkline' histogram ranges","The 'bins' are in hidden cells B6:B10")</f>
        <v>Change the 'sparkline' histogram ranges</v>
      </c>
    </row>
    <row r="19" spans="1:4" x14ac:dyDescent="0.25">
      <c r="A19" s="54" t="s">
        <v>474</v>
      </c>
      <c r="B19" s="59" t="s">
        <v>67</v>
      </c>
      <c r="C19" s="56">
        <f t="shared" si="1"/>
        <v>0</v>
      </c>
      <c r="D19" s="57" t="str">
        <f>IF(B19="No","Double click on the ribbon tab title like 'HOME' for the ribbon to hide","Double clicking again brings it back")</f>
        <v>Double click on the ribbon tab title like 'HOME' for the ribbon to hide</v>
      </c>
    </row>
    <row r="22" spans="1:4" x14ac:dyDescent="0.25">
      <c r="A22" s="60" t="s">
        <v>75</v>
      </c>
      <c r="B22" s="54"/>
      <c r="C22" s="54"/>
      <c r="D22" s="54"/>
    </row>
    <row r="23" spans="1:4" x14ac:dyDescent="0.25">
      <c r="A23" s="54" t="s">
        <v>76</v>
      </c>
      <c r="B23" s="61" t="s">
        <v>490</v>
      </c>
      <c r="C23" s="54"/>
      <c r="D23" s="57" t="s">
        <v>491</v>
      </c>
    </row>
    <row r="24" spans="1:4" x14ac:dyDescent="0.25">
      <c r="A24" s="54" t="s">
        <v>489</v>
      </c>
      <c r="B24" s="54"/>
      <c r="C24" s="54"/>
      <c r="D24" s="62" t="s">
        <v>77</v>
      </c>
    </row>
    <row r="25" spans="1:4" x14ac:dyDescent="0.25">
      <c r="A25" s="54" t="s">
        <v>78</v>
      </c>
      <c r="B25" s="63" t="s">
        <v>79</v>
      </c>
      <c r="C25" s="64"/>
      <c r="D25" s="65" t="s">
        <v>488</v>
      </c>
    </row>
    <row r="26" spans="1:4" x14ac:dyDescent="0.25">
      <c r="A26" s="54" t="s">
        <v>80</v>
      </c>
      <c r="B26" s="54"/>
      <c r="C26" s="54"/>
      <c r="D26" s="57" t="s">
        <v>81</v>
      </c>
    </row>
  </sheetData>
  <conditionalFormatting sqref="C5">
    <cfRule type="dataBar" priority="5">
      <dataBar showValue="0">
        <cfvo type="num" val="0"/>
        <cfvo type="num" val="100"/>
        <color rgb="FF638EC6"/>
      </dataBar>
      <extLst>
        <ext xmlns:x14="http://schemas.microsoft.com/office/spreadsheetml/2009/9/main" uri="{B025F937-C7B1-47D3-B67F-A62EFF666E3E}">
          <x14:id>{5F566FC2-A700-4C27-9CB9-D35B9FD3C88E}</x14:id>
        </ext>
      </extLst>
    </cfRule>
  </conditionalFormatting>
  <conditionalFormatting sqref="C16:C19">
    <cfRule type="iconSet" priority="4">
      <iconSet iconSet="4TrafficLights" showValue="0">
        <cfvo type="percent" val="0"/>
        <cfvo type="num" val="0.2" gte="0"/>
        <cfvo type="num" val="0.3"/>
        <cfvo type="num" val="1"/>
      </iconSet>
    </cfRule>
  </conditionalFormatting>
  <conditionalFormatting sqref="C4">
    <cfRule type="iconSet" priority="6">
      <iconSet iconSet="4TrafficLights" showValue="0">
        <cfvo type="percent" val="0"/>
        <cfvo type="num" val="0.2" gte="0"/>
        <cfvo type="num" val="0.3"/>
        <cfvo type="num" val="1"/>
      </iconSet>
    </cfRule>
  </conditionalFormatting>
  <conditionalFormatting sqref="C10:C11">
    <cfRule type="iconSet" priority="3">
      <iconSet iconSet="4TrafficLights" showValue="0">
        <cfvo type="percent" val="0"/>
        <cfvo type="num" val="0.2" gte="0"/>
        <cfvo type="num" val="0.3"/>
        <cfvo type="num" val="1"/>
      </iconSet>
    </cfRule>
  </conditionalFormatting>
  <conditionalFormatting sqref="C12:C13">
    <cfRule type="iconSet" priority="2">
      <iconSet iconSet="4TrafficLights" showValue="0">
        <cfvo type="percent" val="0"/>
        <cfvo type="num" val="0.2" gte="0"/>
        <cfvo type="num" val="0.3"/>
        <cfvo type="num" val="1"/>
      </iconSet>
    </cfRule>
  </conditionalFormatting>
  <conditionalFormatting sqref="C10:C19">
    <cfRule type="iconSet" priority="1">
      <iconSet iconSet="3Symbols2" showValue="0">
        <cfvo type="percent" val="0"/>
        <cfvo type="num" val="0.3"/>
        <cfvo type="num" val="0.5"/>
      </iconSet>
    </cfRule>
  </conditionalFormatting>
  <dataValidations count="1">
    <dataValidation type="list" allowBlank="1" sqref="B10:B19 B4">
      <formula1>"Yes,No"</formula1>
    </dataValidation>
  </dataValidations>
  <hyperlinks>
    <hyperlink ref="D24" r:id="rId1"/>
  </hyperlinks>
  <pageMargins left="0.7" right="0.7" top="0.75" bottom="0.75" header="0.3" footer="0.3"/>
  <drawing r:id="rId2"/>
  <extLst>
    <ext xmlns:x14="http://schemas.microsoft.com/office/spreadsheetml/2009/9/main" uri="{78C0D931-6437-407d-A8EE-F0AAD7539E65}">
      <x14:conditionalFormattings>
        <x14:conditionalFormatting xmlns:xm="http://schemas.microsoft.com/office/excel/2006/main">
          <x14:cfRule type="dataBar" id="{5F566FC2-A700-4C27-9CB9-D35B9FD3C88E}">
            <x14:dataBar minLength="0" maxLength="100" gradient="0" negativeBarColorSameAsPositive="1">
              <x14:cfvo type="num">
                <xm:f>0</xm:f>
              </x14:cfvo>
              <x14:cfvo type="num">
                <xm:f>100</xm:f>
              </x14:cfvo>
              <x14:axisColor rgb="FF000000"/>
            </x14:dataBar>
          </x14:cfRule>
          <xm:sqref>C5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3:B9"/>
  <sheetViews>
    <sheetView zoomScaleNormal="100" workbookViewId="0"/>
  </sheetViews>
  <sheetFormatPr defaultRowHeight="15" x14ac:dyDescent="0.25"/>
  <cols>
    <col min="1" max="1" width="13.140625" bestFit="1" customWidth="1"/>
    <col min="2" max="2" width="24.42578125" bestFit="1" customWidth="1"/>
  </cols>
  <sheetData>
    <row r="3" spans="1:2" x14ac:dyDescent="0.25">
      <c r="A3" s="66" t="s">
        <v>84</v>
      </c>
      <c r="B3" t="s">
        <v>483</v>
      </c>
    </row>
    <row r="4" spans="1:2" x14ac:dyDescent="0.25">
      <c r="A4" s="69" t="s">
        <v>90</v>
      </c>
      <c r="B4" s="70">
        <v>6</v>
      </c>
    </row>
    <row r="5" spans="1:2" x14ac:dyDescent="0.25">
      <c r="A5" s="69" t="s">
        <v>88</v>
      </c>
      <c r="B5" s="70"/>
    </row>
    <row r="6" spans="1:2" x14ac:dyDescent="0.25">
      <c r="A6" s="69" t="s">
        <v>86</v>
      </c>
      <c r="B6" s="70">
        <v>1</v>
      </c>
    </row>
    <row r="7" spans="1:2" x14ac:dyDescent="0.25">
      <c r="A7" s="69" t="s">
        <v>89</v>
      </c>
      <c r="B7" s="70"/>
    </row>
    <row r="8" spans="1:2" x14ac:dyDescent="0.25">
      <c r="A8" s="69" t="s">
        <v>87</v>
      </c>
      <c r="B8" s="70">
        <v>3</v>
      </c>
    </row>
    <row r="9" spans="1:2" x14ac:dyDescent="0.25">
      <c r="A9" s="69" t="s">
        <v>85</v>
      </c>
      <c r="B9" s="70">
        <v>10</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3:B5"/>
  <sheetViews>
    <sheetView workbookViewId="0"/>
  </sheetViews>
  <sheetFormatPr defaultRowHeight="15" x14ac:dyDescent="0.25"/>
  <cols>
    <col min="1" max="1" width="13.140625" bestFit="1" customWidth="1"/>
    <col min="2" max="2" width="26.5703125" bestFit="1" customWidth="1"/>
  </cols>
  <sheetData>
    <row r="3" spans="1:2" x14ac:dyDescent="0.25">
      <c r="A3" s="66" t="s">
        <v>84</v>
      </c>
      <c r="B3" t="s">
        <v>484</v>
      </c>
    </row>
    <row r="4" spans="1:2" x14ac:dyDescent="0.25">
      <c r="A4" s="67">
        <v>1</v>
      </c>
      <c r="B4" s="68">
        <v>36.666666666666671</v>
      </c>
    </row>
    <row r="5" spans="1:2" x14ac:dyDescent="0.25">
      <c r="A5" s="67" t="s">
        <v>85</v>
      </c>
      <c r="B5" s="68">
        <v>36.666666666666671</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64"/>
  <sheetViews>
    <sheetView zoomScaleNormal="100" workbookViewId="0"/>
  </sheetViews>
  <sheetFormatPr defaultRowHeight="15" x14ac:dyDescent="0.25"/>
  <cols>
    <col min="1" max="1" width="30.28515625" style="72" customWidth="1"/>
    <col min="2" max="2" width="10.5703125" style="88" customWidth="1"/>
    <col min="3" max="3" width="20.42578125" style="86" hidden="1" customWidth="1"/>
    <col min="4" max="4" width="10.7109375" style="86" bestFit="1" customWidth="1"/>
    <col min="5" max="5" width="9.140625" style="89" customWidth="1"/>
    <col min="6" max="6" width="9.140625" style="97"/>
  </cols>
  <sheetData>
    <row r="1" spans="1:6" ht="19.5" x14ac:dyDescent="0.25">
      <c r="A1" s="75" t="s">
        <v>94</v>
      </c>
      <c r="B1" s="82"/>
      <c r="C1" s="82"/>
      <c r="D1" s="83"/>
      <c r="E1" s="90"/>
      <c r="F1" s="90"/>
    </row>
    <row r="2" spans="1:6" ht="19.5" x14ac:dyDescent="0.3">
      <c r="A2" s="76" t="s">
        <v>95</v>
      </c>
      <c r="B2" s="84"/>
      <c r="C2" s="84"/>
      <c r="D2" s="85"/>
      <c r="E2" s="80"/>
      <c r="F2" s="80"/>
    </row>
    <row r="3" spans="1:6" ht="19.5" x14ac:dyDescent="0.3">
      <c r="A3" s="78" t="s">
        <v>96</v>
      </c>
      <c r="B3" s="84"/>
      <c r="C3" s="84"/>
      <c r="D3" s="85"/>
      <c r="E3" s="80"/>
      <c r="F3" s="80"/>
    </row>
    <row r="4" spans="1:6" x14ac:dyDescent="0.25">
      <c r="A4" s="77" t="s">
        <v>97</v>
      </c>
      <c r="B4" s="85"/>
      <c r="C4" s="85"/>
      <c r="D4" s="85"/>
      <c r="E4" s="80"/>
      <c r="F4" s="80"/>
    </row>
    <row r="5" spans="1:6" x14ac:dyDescent="0.25">
      <c r="A5" s="77" t="str">
        <f ca="1">CONCATENATE("Date: ",TEXT(TODAY(),"dd-mmm-yyyy"))</f>
        <v>Date: 21-Jun-2013</v>
      </c>
      <c r="B5" s="85"/>
      <c r="C5" s="85"/>
      <c r="D5" s="85"/>
      <c r="E5" s="80"/>
      <c r="F5" s="80"/>
    </row>
    <row r="6" spans="1:6" x14ac:dyDescent="0.25">
      <c r="A6" s="77"/>
      <c r="B6" s="85"/>
      <c r="C6" s="85"/>
      <c r="D6" s="85"/>
      <c r="E6" s="80"/>
      <c r="F6" s="80"/>
    </row>
    <row r="7" spans="1:6" x14ac:dyDescent="0.25">
      <c r="A7" s="79" t="s">
        <v>98</v>
      </c>
      <c r="B7" s="85"/>
      <c r="C7" s="85"/>
      <c r="D7" s="85"/>
      <c r="E7" s="80"/>
      <c r="F7" s="80"/>
    </row>
    <row r="8" spans="1:6" ht="51.75" customHeight="1" x14ac:dyDescent="0.25">
      <c r="A8" s="120"/>
      <c r="B8" s="120"/>
      <c r="C8" s="120"/>
      <c r="D8" s="120"/>
      <c r="E8" s="120"/>
      <c r="F8" s="80"/>
    </row>
    <row r="9" spans="1:6" x14ac:dyDescent="0.25">
      <c r="A9" s="79" t="s">
        <v>99</v>
      </c>
      <c r="B9" s="81"/>
      <c r="C9" s="80"/>
      <c r="D9" s="80"/>
      <c r="E9" s="80"/>
      <c r="F9" s="80"/>
    </row>
    <row r="10" spans="1:6" x14ac:dyDescent="0.25">
      <c r="A10" s="79"/>
      <c r="B10" s="81"/>
      <c r="C10" s="80"/>
      <c r="D10" s="80"/>
      <c r="E10" s="80"/>
      <c r="F10" s="80"/>
    </row>
    <row r="11" spans="1:6" x14ac:dyDescent="0.25">
      <c r="A11"/>
      <c r="B11" s="81"/>
      <c r="C11" s="80"/>
      <c r="D11" s="80"/>
      <c r="E11" s="80"/>
      <c r="F11" s="80"/>
    </row>
    <row r="12" spans="1:6" x14ac:dyDescent="0.25">
      <c r="A12"/>
      <c r="B12" s="81"/>
      <c r="C12" s="80"/>
      <c r="D12" s="80" t="str">
        <f ca="1">IFERROR(IF(OFFSET('Data Entry'!$A$2,0,-1+MATCH(IF(LEFT($A12,1)=" ",RIGHT($A12,LEN($A12)-1),$A12),Trackerdata[#Headers],))&lt;&gt;0,OFFSET('Data Entry'!$A$2,0,-1+MATCH(IF(LEFT($A12,1)=" ",RIGHT($A12,LEN($A12)-1),$A12),Trackerdata[#Headers],)),""),"")</f>
        <v/>
      </c>
      <c r="E12" s="80" t="str">
        <f ca="1">IFERROR(IF(OFFSET('Data Entry'!$A$3,0,-1+MATCH(IF(LEFT($A12,1)=" ",RIGHT($A12,LEN($A12)-1),$A12),Trackerdata[#Headers],))&lt;&gt;0,OFFSET('Data Entry'!$A$3,0,-1+MATCH(IF(LEFT($A12,1)=" ",RIGHT($A12,LEN($A12)-1),$A12),Trackerdata[#Headers],)),""),"")</f>
        <v/>
      </c>
      <c r="F12" s="80" t="str">
        <f ca="1">IFERROR(IF(OFFSET('Data Entry'!$A$4,0,-1+MATCH(IF(LEFT($A12,1)=" ",RIGHT($A12,LEN($A12)-1),$A12),Trackerdata[#Headers],))&lt;&gt;0,OFFSET('Data Entry'!$A$4,0,-1+MATCH(IF(LEFT($A12,1)=" ",RIGHT($A12,LEN($A12)-1),$A12),Trackerdata[#Headers],)),""),"")</f>
        <v/>
      </c>
    </row>
    <row r="13" spans="1:6" x14ac:dyDescent="0.25">
      <c r="A13" s="86" t="s">
        <v>94</v>
      </c>
      <c r="B13" s="88" t="s">
        <v>101</v>
      </c>
      <c r="D13" s="86" t="s">
        <v>100</v>
      </c>
      <c r="E13" s="86" t="s">
        <v>4</v>
      </c>
      <c r="F13" s="91" t="s">
        <v>471</v>
      </c>
    </row>
    <row r="14" spans="1:6" x14ac:dyDescent="0.25">
      <c r="A14" s="71" t="s">
        <v>102</v>
      </c>
      <c r="B14" s="72"/>
      <c r="C14" s="87"/>
      <c r="D14" s="87"/>
      <c r="E14" s="87"/>
    </row>
    <row r="15" spans="1:6" x14ac:dyDescent="0.25">
      <c r="A15" s="73" t="s">
        <v>49</v>
      </c>
      <c r="D15" s="86" t="str">
        <f ca="1">IFERROR(IF(OFFSET('Data Entry'!$A$2,0,-1+MATCH(IF(LEFT($A15,1)=" ",RIGHT($A15,LEN($A15)-1),$A15),Trackerdata[#Headers],))&lt;&gt;0,OFFSET('Data Entry'!$A$2,0,-1+MATCH(IF(LEFT($A15,1)=" ",RIGHT($A15,LEN($A15)-1),$A15),Trackerdata[#Headers],)),""),"")</f>
        <v/>
      </c>
      <c r="E15" s="89" t="str">
        <f ca="1">IFERROR(IF(OFFSET('Data Entry'!$A$3,0,-1+MATCH(IF(LEFT($A15,1)=" ",RIGHT($A15,LEN($A15)-1),$A15),Trackerdata[#Headers],))&lt;&gt;0,OFFSET('Data Entry'!$A$3,0,-1+MATCH(IF(LEFT($A15,1)=" ",RIGHT($A15,LEN($A15)-1),$A15),Trackerdata[#Headers],)),""),"")</f>
        <v/>
      </c>
      <c r="F15" s="97" t="str">
        <f ca="1">IFERROR(IF(OFFSET('Data Entry'!$A$4,0,-1+MATCH(IF(LEFT($A15,1)=" ",RIGHT($A15,LEN($A15)-1),$A15),Trackerdata[#Headers],))&lt;&gt;0,OFFSET('Data Entry'!$A$4,0,-1+MATCH(IF(LEFT($A15,1)=" ",RIGHT($A15,LEN($A15)-1),$A15),Trackerdata[#Headers],)),""),"")</f>
        <v/>
      </c>
    </row>
    <row r="16" spans="1:6" x14ac:dyDescent="0.25">
      <c r="A16" s="74" t="s">
        <v>91</v>
      </c>
      <c r="B16" s="88">
        <v>10</v>
      </c>
      <c r="D16" s="86">
        <f ca="1">IFERROR(IF(OFFSET('Data Entry'!$A$2,0,-1+MATCH(IF(LEFT($A16,1)=" ",RIGHT($A16,LEN($A16)-1),$A16),Trackerdata[#Headers],))&lt;&gt;0,OFFSET('Data Entry'!$A$2,0,-1+MATCH(IF(LEFT($A16,1)=" ",RIGHT($A16,LEN($A16)-1),$A16),Trackerdata[#Headers],)),""),"")</f>
        <v>10</v>
      </c>
      <c r="E16" s="89">
        <f ca="1">IFERROR(IF(OFFSET('Data Entry'!$A$3,0,-1+MATCH(IF(LEFT($A16,1)=" ",RIGHT($A16,LEN($A16)-1),$A16),Trackerdata[#Headers],))&lt;&gt;0,OFFSET('Data Entry'!$A$3,0,-1+MATCH(IF(LEFT($A16,1)=" ",RIGHT($A16,LEN($A16)-1),$A16),Trackerdata[#Headers],)),""),"")</f>
        <v>1</v>
      </c>
      <c r="F16" s="97">
        <f ca="1">IFERROR(IF(OFFSET('Data Entry'!$A$4,0,-1+MATCH(IF(LEFT($A16,1)=" ",RIGHT($A16,LEN($A16)-1),$A16),Trackerdata[#Headers],))&lt;&gt;0,OFFSET('Data Entry'!$A$4,0,-1+MATCH(IF(LEFT($A16,1)=" ",RIGHT($A16,LEN($A16)-1),$A16),Trackerdata[#Headers],)),""),"")</f>
        <v>41294</v>
      </c>
    </row>
    <row r="17" spans="1:6" x14ac:dyDescent="0.25">
      <c r="A17" s="74" t="s">
        <v>92</v>
      </c>
      <c r="B17" s="88">
        <v>14</v>
      </c>
      <c r="D17" s="86">
        <f ca="1">IFERROR(IF(OFFSET('Data Entry'!$A$2,0,-1+MATCH(IF(LEFT($A17,1)=" ",RIGHT($A17,LEN($A17)-1),$A17),Trackerdata[#Headers],))&lt;&gt;0,OFFSET('Data Entry'!$A$2,0,-1+MATCH(IF(LEFT($A17,1)=" ",RIGHT($A17,LEN($A17)-1),$A17),Trackerdata[#Headers],)),""),"")</f>
        <v>15</v>
      </c>
      <c r="E17" s="89">
        <f ca="1">IFERROR(IF(OFFSET('Data Entry'!$A$3,0,-1+MATCH(IF(LEFT($A17,1)=" ",RIGHT($A17,LEN($A17)-1),$A17),Trackerdata[#Headers],))&lt;&gt;0,OFFSET('Data Entry'!$A$3,0,-1+MATCH(IF(LEFT($A17,1)=" ",RIGHT($A17,LEN($A17)-1),$A17),Trackerdata[#Headers],)),""),"")</f>
        <v>1</v>
      </c>
      <c r="F17" s="97">
        <f ca="1">IFERROR(IF(OFFSET('Data Entry'!$A$4,0,-1+MATCH(IF(LEFT($A17,1)=" ",RIGHT($A17,LEN($A17)-1),$A17),Trackerdata[#Headers],))&lt;&gt;0,OFFSET('Data Entry'!$A$4,0,-1+MATCH(IF(LEFT($A17,1)=" ",RIGHT($A17,LEN($A17)-1),$A17),Trackerdata[#Headers],)),""),"")</f>
        <v>41299</v>
      </c>
    </row>
    <row r="18" spans="1:6" x14ac:dyDescent="0.25">
      <c r="A18" s="74" t="s">
        <v>103</v>
      </c>
      <c r="B18" s="88">
        <v>4</v>
      </c>
      <c r="D18" s="86">
        <f ca="1">IFERROR(IF(OFFSET('Data Entry'!$A$2,0,-1+MATCH(IF(LEFT($A18,1)=" ",RIGHT($A18,LEN($A18)-1),$A18),Trackerdata[#Headers],))&lt;&gt;0,OFFSET('Data Entry'!$A$2,0,-1+MATCH(IF(LEFT($A18,1)=" ",RIGHT($A18,LEN($A18)-1),$A18),Trackerdata[#Headers],)),""),"")</f>
        <v>5</v>
      </c>
      <c r="E18" s="89">
        <f ca="1">IFERROR(IF(OFFSET('Data Entry'!$A$3,0,-1+MATCH(IF(LEFT($A18,1)=" ",RIGHT($A18,LEN($A18)-1),$A18),Trackerdata[#Headers],))&lt;&gt;0,OFFSET('Data Entry'!$A$3,0,-1+MATCH(IF(LEFT($A18,1)=" ",RIGHT($A18,LEN($A18)-1),$A18),Trackerdata[#Headers],)),""),"")</f>
        <v>1</v>
      </c>
      <c r="F18" s="97">
        <f ca="1">IFERROR(IF(OFFSET('Data Entry'!$A$4,0,-1+MATCH(IF(LEFT($A18,1)=" ",RIGHT($A18,LEN($A18)-1),$A18),Trackerdata[#Headers],))&lt;&gt;0,OFFSET('Data Entry'!$A$4,0,-1+MATCH(IF(LEFT($A18,1)=" ",RIGHT($A18,LEN($A18)-1),$A18),Trackerdata[#Headers],)),""),"")</f>
        <v>41301</v>
      </c>
    </row>
    <row r="19" spans="1:6" x14ac:dyDescent="0.25">
      <c r="A19" s="74" t="s">
        <v>485</v>
      </c>
      <c r="B19" s="88">
        <v>93.333333333333329</v>
      </c>
      <c r="D19" s="86">
        <f ca="1">IFERROR(IF(OFFSET('Data Entry'!$A$2,0,-1+MATCH(IF(LEFT($A19,1)=" ",RIGHT($A19,LEN($A19)-1),$A19),Trackerdata[#Headers],))&lt;&gt;0,OFFSET('Data Entry'!$A$2,0,-1+MATCH(IF(LEFT($A19,1)=" ",RIGHT($A19,LEN($A19)-1),$A19),Trackerdata[#Headers],)),""),"")</f>
        <v>100</v>
      </c>
      <c r="E19" s="89" t="str">
        <f ca="1">IFERROR(IF(OFFSET('Data Entry'!$A$3,0,-1+MATCH(IF(LEFT($A19,1)=" ",RIGHT($A19,LEN($A19)-1),$A19),Trackerdata[#Headers],))&lt;&gt;0,OFFSET('Data Entry'!$A$3,0,-1+MATCH(IF(LEFT($A19,1)=" ",RIGHT($A19,LEN($A19)-1),$A19),Trackerdata[#Headers],)),""),"")</f>
        <v/>
      </c>
      <c r="F19" s="97" t="str">
        <f ca="1">IFERROR(IF(OFFSET('Data Entry'!$A$4,0,-1+MATCH(IF(LEFT($A19,1)=" ",RIGHT($A19,LEN($A19)-1),$A19),Trackerdata[#Headers],))&lt;&gt;0,OFFSET('Data Entry'!$A$4,0,-1+MATCH(IF(LEFT($A19,1)=" ",RIGHT($A19,LEN($A19)-1),$A19),Trackerdata[#Headers],)),""),"")</f>
        <v/>
      </c>
    </row>
    <row r="20" spans="1:6" x14ac:dyDescent="0.25">
      <c r="A20" s="73" t="s">
        <v>59</v>
      </c>
      <c r="D20" s="86" t="str">
        <f ca="1">IFERROR(IF(OFFSET('Data Entry'!$A$2,0,-1+MATCH(IF(LEFT($A20,1)=" ",RIGHT($A20,LEN($A20)-1),$A20),Trackerdata[#Headers],))&lt;&gt;0,OFFSET('Data Entry'!$A$2,0,-1+MATCH(IF(LEFT($A20,1)=" ",RIGHT($A20,LEN($A20)-1),$A20),Trackerdata[#Headers],)),""),"")</f>
        <v/>
      </c>
      <c r="E20" s="89" t="str">
        <f ca="1">IFERROR(IF(OFFSET('Data Entry'!$A$3,0,-1+MATCH(IF(LEFT($A20,1)=" ",RIGHT($A20,LEN($A20)-1),$A20),Trackerdata[#Headers],))&lt;&gt;0,OFFSET('Data Entry'!$A$3,0,-1+MATCH(IF(LEFT($A20,1)=" ",RIGHT($A20,LEN($A20)-1),$A20),Trackerdata[#Headers],)),""),"")</f>
        <v/>
      </c>
      <c r="F20" s="97" t="str">
        <f ca="1">IFERROR(IF(OFFSET('Data Entry'!$A$4,0,-1+MATCH(IF(LEFT($A20,1)=" ",RIGHT($A20,LEN($A20)-1),$A20),Trackerdata[#Headers],))&lt;&gt;0,OFFSET('Data Entry'!$A$4,0,-1+MATCH(IF(LEFT($A20,1)=" ",RIGHT($A20,LEN($A20)-1),$A20),Trackerdata[#Headers],)),""),"")</f>
        <v/>
      </c>
    </row>
    <row r="21" spans="1:6" x14ac:dyDescent="0.25">
      <c r="A21" s="74" t="s">
        <v>91</v>
      </c>
      <c r="D21" s="86">
        <f ca="1">IFERROR(IF(OFFSET('Data Entry'!$A$2,0,-1+MATCH(IF(LEFT($A21,1)=" ",RIGHT($A21,LEN($A21)-1),$A21),Trackerdata[#Headers],))&lt;&gt;0,OFFSET('Data Entry'!$A$2,0,-1+MATCH(IF(LEFT($A21,1)=" ",RIGHT($A21,LEN($A21)-1),$A21),Trackerdata[#Headers],)),""),"")</f>
        <v>10</v>
      </c>
      <c r="E21" s="89">
        <f ca="1">IFERROR(IF(OFFSET('Data Entry'!$A$3,0,-1+MATCH(IF(LEFT($A21,1)=" ",RIGHT($A21,LEN($A21)-1),$A21),Trackerdata[#Headers],))&lt;&gt;0,OFFSET('Data Entry'!$A$3,0,-1+MATCH(IF(LEFT($A21,1)=" ",RIGHT($A21,LEN($A21)-1),$A21),Trackerdata[#Headers],)),""),"")</f>
        <v>1</v>
      </c>
      <c r="F21" s="97">
        <f ca="1">IFERROR(IF(OFFSET('Data Entry'!$A$4,0,-1+MATCH(IF(LEFT($A21,1)=" ",RIGHT($A21,LEN($A21)-1),$A21),Trackerdata[#Headers],))&lt;&gt;0,OFFSET('Data Entry'!$A$4,0,-1+MATCH(IF(LEFT($A21,1)=" ",RIGHT($A21,LEN($A21)-1),$A21),Trackerdata[#Headers],)),""),"")</f>
        <v>41294</v>
      </c>
    </row>
    <row r="22" spans="1:6" x14ac:dyDescent="0.25">
      <c r="A22" s="74" t="s">
        <v>92</v>
      </c>
      <c r="D22" s="86">
        <f ca="1">IFERROR(IF(OFFSET('Data Entry'!$A$2,0,-1+MATCH(IF(LEFT($A22,1)=" ",RIGHT($A22,LEN($A22)-1),$A22),Trackerdata[#Headers],))&lt;&gt;0,OFFSET('Data Entry'!$A$2,0,-1+MATCH(IF(LEFT($A22,1)=" ",RIGHT($A22,LEN($A22)-1),$A22),Trackerdata[#Headers],)),""),"")</f>
        <v>15</v>
      </c>
      <c r="E22" s="89">
        <f ca="1">IFERROR(IF(OFFSET('Data Entry'!$A$3,0,-1+MATCH(IF(LEFT($A22,1)=" ",RIGHT($A22,LEN($A22)-1),$A22),Trackerdata[#Headers],))&lt;&gt;0,OFFSET('Data Entry'!$A$3,0,-1+MATCH(IF(LEFT($A22,1)=" ",RIGHT($A22,LEN($A22)-1),$A22),Trackerdata[#Headers],)),""),"")</f>
        <v>1</v>
      </c>
      <c r="F22" s="97">
        <f ca="1">IFERROR(IF(OFFSET('Data Entry'!$A$4,0,-1+MATCH(IF(LEFT($A22,1)=" ",RIGHT($A22,LEN($A22)-1),$A22),Trackerdata[#Headers],))&lt;&gt;0,OFFSET('Data Entry'!$A$4,0,-1+MATCH(IF(LEFT($A22,1)=" ",RIGHT($A22,LEN($A22)-1),$A22),Trackerdata[#Headers],)),""),"")</f>
        <v>41299</v>
      </c>
    </row>
    <row r="23" spans="1:6" x14ac:dyDescent="0.25">
      <c r="A23" s="74" t="s">
        <v>103</v>
      </c>
      <c r="D23" s="86">
        <f ca="1">IFERROR(IF(OFFSET('Data Entry'!$A$2,0,-1+MATCH(IF(LEFT($A23,1)=" ",RIGHT($A23,LEN($A23)-1),$A23),Trackerdata[#Headers],))&lt;&gt;0,OFFSET('Data Entry'!$A$2,0,-1+MATCH(IF(LEFT($A23,1)=" ",RIGHT($A23,LEN($A23)-1),$A23),Trackerdata[#Headers],)),""),"")</f>
        <v>5</v>
      </c>
      <c r="E23" s="89">
        <f ca="1">IFERROR(IF(OFFSET('Data Entry'!$A$3,0,-1+MATCH(IF(LEFT($A23,1)=" ",RIGHT($A23,LEN($A23)-1),$A23),Trackerdata[#Headers],))&lt;&gt;0,OFFSET('Data Entry'!$A$3,0,-1+MATCH(IF(LEFT($A23,1)=" ",RIGHT($A23,LEN($A23)-1),$A23),Trackerdata[#Headers],)),""),"")</f>
        <v>1</v>
      </c>
      <c r="F23" s="97">
        <f ca="1">IFERROR(IF(OFFSET('Data Entry'!$A$4,0,-1+MATCH(IF(LEFT($A23,1)=" ",RIGHT($A23,LEN($A23)-1),$A23),Trackerdata[#Headers],))&lt;&gt;0,OFFSET('Data Entry'!$A$4,0,-1+MATCH(IF(LEFT($A23,1)=" ",RIGHT($A23,LEN($A23)-1),$A23),Trackerdata[#Headers],)),""),"")</f>
        <v>41301</v>
      </c>
    </row>
    <row r="24" spans="1:6" x14ac:dyDescent="0.25">
      <c r="A24" s="74" t="s">
        <v>485</v>
      </c>
      <c r="B24" s="88">
        <v>0</v>
      </c>
      <c r="D24" s="86">
        <f ca="1">IFERROR(IF(OFFSET('Data Entry'!$A$2,0,-1+MATCH(IF(LEFT($A24,1)=" ",RIGHT($A24,LEN($A24)-1),$A24),Trackerdata[#Headers],))&lt;&gt;0,OFFSET('Data Entry'!$A$2,0,-1+MATCH(IF(LEFT($A24,1)=" ",RIGHT($A24,LEN($A24)-1),$A24),Trackerdata[#Headers],)),""),"")</f>
        <v>100</v>
      </c>
      <c r="E24" s="89" t="str">
        <f ca="1">IFERROR(IF(OFFSET('Data Entry'!$A$3,0,-1+MATCH(IF(LEFT($A24,1)=" ",RIGHT($A24,LEN($A24)-1),$A24),Trackerdata[#Headers],))&lt;&gt;0,OFFSET('Data Entry'!$A$3,0,-1+MATCH(IF(LEFT($A24,1)=" ",RIGHT($A24,LEN($A24)-1),$A24),Trackerdata[#Headers],)),""),"")</f>
        <v/>
      </c>
      <c r="F24" s="97" t="str">
        <f ca="1">IFERROR(IF(OFFSET('Data Entry'!$A$4,0,-1+MATCH(IF(LEFT($A24,1)=" ",RIGHT($A24,LEN($A24)-1),$A24),Trackerdata[#Headers],))&lt;&gt;0,OFFSET('Data Entry'!$A$4,0,-1+MATCH(IF(LEFT($A24,1)=" ",RIGHT($A24,LEN($A24)-1),$A24),Trackerdata[#Headers],)),""),"")</f>
        <v/>
      </c>
    </row>
    <row r="25" spans="1:6" x14ac:dyDescent="0.25">
      <c r="A25" s="73" t="s">
        <v>50</v>
      </c>
      <c r="D25" s="86" t="str">
        <f ca="1">IFERROR(IF(OFFSET('Data Entry'!$A$2,0,-1+MATCH(IF(LEFT($A25,1)=" ",RIGHT($A25,LEN($A25)-1),$A25),Trackerdata[#Headers],))&lt;&gt;0,OFFSET('Data Entry'!$A$2,0,-1+MATCH(IF(LEFT($A25,1)=" ",RIGHT($A25,LEN($A25)-1),$A25),Trackerdata[#Headers],)),""),"")</f>
        <v/>
      </c>
      <c r="E25" s="89" t="str">
        <f ca="1">IFERROR(IF(OFFSET('Data Entry'!$A$3,0,-1+MATCH(IF(LEFT($A25,1)=" ",RIGHT($A25,LEN($A25)-1),$A25),Trackerdata[#Headers],))&lt;&gt;0,OFFSET('Data Entry'!$A$3,0,-1+MATCH(IF(LEFT($A25,1)=" ",RIGHT($A25,LEN($A25)-1),$A25),Trackerdata[#Headers],)),""),"")</f>
        <v/>
      </c>
      <c r="F25" s="97" t="str">
        <f ca="1">IFERROR(IF(OFFSET('Data Entry'!$A$4,0,-1+MATCH(IF(LEFT($A25,1)=" ",RIGHT($A25,LEN($A25)-1),$A25),Trackerdata[#Headers],))&lt;&gt;0,OFFSET('Data Entry'!$A$4,0,-1+MATCH(IF(LEFT($A25,1)=" ",RIGHT($A25,LEN($A25)-1),$A25),Trackerdata[#Headers],)),""),"")</f>
        <v/>
      </c>
    </row>
    <row r="26" spans="1:6" x14ac:dyDescent="0.25">
      <c r="A26" s="74" t="s">
        <v>91</v>
      </c>
      <c r="B26" s="88">
        <v>8</v>
      </c>
      <c r="D26" s="86">
        <f ca="1">IFERROR(IF(OFFSET('Data Entry'!$A$2,0,-1+MATCH(IF(LEFT($A26,1)=" ",RIGHT($A26,LEN($A26)-1),$A26),Trackerdata[#Headers],))&lt;&gt;0,OFFSET('Data Entry'!$A$2,0,-1+MATCH(IF(LEFT($A26,1)=" ",RIGHT($A26,LEN($A26)-1),$A26),Trackerdata[#Headers],)),""),"")</f>
        <v>10</v>
      </c>
      <c r="E26" s="89">
        <f ca="1">IFERROR(IF(OFFSET('Data Entry'!$A$3,0,-1+MATCH(IF(LEFT($A26,1)=" ",RIGHT($A26,LEN($A26)-1),$A26),Trackerdata[#Headers],))&lt;&gt;0,OFFSET('Data Entry'!$A$3,0,-1+MATCH(IF(LEFT($A26,1)=" ",RIGHT($A26,LEN($A26)-1),$A26),Trackerdata[#Headers],)),""),"")</f>
        <v>1</v>
      </c>
      <c r="F26" s="97">
        <f ca="1">IFERROR(IF(OFFSET('Data Entry'!$A$4,0,-1+MATCH(IF(LEFT($A26,1)=" ",RIGHT($A26,LEN($A26)-1),$A26),Trackerdata[#Headers],))&lt;&gt;0,OFFSET('Data Entry'!$A$4,0,-1+MATCH(IF(LEFT($A26,1)=" ",RIGHT($A26,LEN($A26)-1),$A26),Trackerdata[#Headers],)),""),"")</f>
        <v>41294</v>
      </c>
    </row>
    <row r="27" spans="1:6" x14ac:dyDescent="0.25">
      <c r="A27" s="74" t="s">
        <v>92</v>
      </c>
      <c r="B27" s="88">
        <v>10</v>
      </c>
      <c r="D27" s="86">
        <f ca="1">IFERROR(IF(OFFSET('Data Entry'!$A$2,0,-1+MATCH(IF(LEFT($A27,1)=" ",RIGHT($A27,LEN($A27)-1),$A27),Trackerdata[#Headers],))&lt;&gt;0,OFFSET('Data Entry'!$A$2,0,-1+MATCH(IF(LEFT($A27,1)=" ",RIGHT($A27,LEN($A27)-1),$A27),Trackerdata[#Headers],)),""),"")</f>
        <v>15</v>
      </c>
      <c r="E27" s="89">
        <f ca="1">IFERROR(IF(OFFSET('Data Entry'!$A$3,0,-1+MATCH(IF(LEFT($A27,1)=" ",RIGHT($A27,LEN($A27)-1),$A27),Trackerdata[#Headers],))&lt;&gt;0,OFFSET('Data Entry'!$A$3,0,-1+MATCH(IF(LEFT($A27,1)=" ",RIGHT($A27,LEN($A27)-1),$A27),Trackerdata[#Headers],)),""),"")</f>
        <v>1</v>
      </c>
      <c r="F27" s="97">
        <f ca="1">IFERROR(IF(OFFSET('Data Entry'!$A$4,0,-1+MATCH(IF(LEFT($A27,1)=" ",RIGHT($A27,LEN($A27)-1),$A27),Trackerdata[#Headers],))&lt;&gt;0,OFFSET('Data Entry'!$A$4,0,-1+MATCH(IF(LEFT($A27,1)=" ",RIGHT($A27,LEN($A27)-1),$A27),Trackerdata[#Headers],)),""),"")</f>
        <v>41299</v>
      </c>
    </row>
    <row r="28" spans="1:6" x14ac:dyDescent="0.25">
      <c r="A28" s="74" t="s">
        <v>103</v>
      </c>
      <c r="B28" s="88">
        <v>5</v>
      </c>
      <c r="D28" s="86">
        <f ca="1">IFERROR(IF(OFFSET('Data Entry'!$A$2,0,-1+MATCH(IF(LEFT($A28,1)=" ",RIGHT($A28,LEN($A28)-1),$A28),Trackerdata[#Headers],))&lt;&gt;0,OFFSET('Data Entry'!$A$2,0,-1+MATCH(IF(LEFT($A28,1)=" ",RIGHT($A28,LEN($A28)-1),$A28),Trackerdata[#Headers],)),""),"")</f>
        <v>5</v>
      </c>
      <c r="E28" s="89">
        <f ca="1">IFERROR(IF(OFFSET('Data Entry'!$A$3,0,-1+MATCH(IF(LEFT($A28,1)=" ",RIGHT($A28,LEN($A28)-1),$A28),Trackerdata[#Headers],))&lt;&gt;0,OFFSET('Data Entry'!$A$3,0,-1+MATCH(IF(LEFT($A28,1)=" ",RIGHT($A28,LEN($A28)-1),$A28),Trackerdata[#Headers],)),""),"")</f>
        <v>1</v>
      </c>
      <c r="F28" s="97">
        <f ca="1">IFERROR(IF(OFFSET('Data Entry'!$A$4,0,-1+MATCH(IF(LEFT($A28,1)=" ",RIGHT($A28,LEN($A28)-1),$A28),Trackerdata[#Headers],))&lt;&gt;0,OFFSET('Data Entry'!$A$4,0,-1+MATCH(IF(LEFT($A28,1)=" ",RIGHT($A28,LEN($A28)-1),$A28),Trackerdata[#Headers],)),""),"")</f>
        <v>41301</v>
      </c>
    </row>
    <row r="29" spans="1:6" x14ac:dyDescent="0.25">
      <c r="A29" s="74" t="s">
        <v>485</v>
      </c>
      <c r="B29" s="88">
        <v>76.666666666666671</v>
      </c>
      <c r="D29" s="86">
        <f ca="1">IFERROR(IF(OFFSET('Data Entry'!$A$2,0,-1+MATCH(IF(LEFT($A29,1)=" ",RIGHT($A29,LEN($A29)-1),$A29),Trackerdata[#Headers],))&lt;&gt;0,OFFSET('Data Entry'!$A$2,0,-1+MATCH(IF(LEFT($A29,1)=" ",RIGHT($A29,LEN($A29)-1),$A29),Trackerdata[#Headers],)),""),"")</f>
        <v>100</v>
      </c>
      <c r="E29" s="89" t="str">
        <f ca="1">IFERROR(IF(OFFSET('Data Entry'!$A$3,0,-1+MATCH(IF(LEFT($A29,1)=" ",RIGHT($A29,LEN($A29)-1),$A29),Trackerdata[#Headers],))&lt;&gt;0,OFFSET('Data Entry'!$A$3,0,-1+MATCH(IF(LEFT($A29,1)=" ",RIGHT($A29,LEN($A29)-1),$A29),Trackerdata[#Headers],)),""),"")</f>
        <v/>
      </c>
      <c r="F29" s="97" t="str">
        <f ca="1">IFERROR(IF(OFFSET('Data Entry'!$A$4,0,-1+MATCH(IF(LEFT($A29,1)=" ",RIGHT($A29,LEN($A29)-1),$A29),Trackerdata[#Headers],))&lt;&gt;0,OFFSET('Data Entry'!$A$4,0,-1+MATCH(IF(LEFT($A29,1)=" ",RIGHT($A29,LEN($A29)-1),$A29),Trackerdata[#Headers],)),""),"")</f>
        <v/>
      </c>
    </row>
    <row r="30" spans="1:6" x14ac:dyDescent="0.25">
      <c r="A30" s="73" t="s">
        <v>51</v>
      </c>
      <c r="D30" s="86" t="str">
        <f ca="1">IFERROR(IF(OFFSET('Data Entry'!$A$2,0,-1+MATCH(IF(LEFT($A30,1)=" ",RIGHT($A30,LEN($A30)-1),$A30),Trackerdata[#Headers],))&lt;&gt;0,OFFSET('Data Entry'!$A$2,0,-1+MATCH(IF(LEFT($A30,1)=" ",RIGHT($A30,LEN($A30)-1),$A30),Trackerdata[#Headers],)),""),"")</f>
        <v/>
      </c>
      <c r="E30" s="89" t="str">
        <f ca="1">IFERROR(IF(OFFSET('Data Entry'!$A$3,0,-1+MATCH(IF(LEFT($A30,1)=" ",RIGHT($A30,LEN($A30)-1),$A30),Trackerdata[#Headers],))&lt;&gt;0,OFFSET('Data Entry'!$A$3,0,-1+MATCH(IF(LEFT($A30,1)=" ",RIGHT($A30,LEN($A30)-1),$A30),Trackerdata[#Headers],)),""),"")</f>
        <v/>
      </c>
      <c r="F30" s="97" t="str">
        <f ca="1">IFERROR(IF(OFFSET('Data Entry'!$A$4,0,-1+MATCH(IF(LEFT($A30,1)=" ",RIGHT($A30,LEN($A30)-1),$A30),Trackerdata[#Headers],))&lt;&gt;0,OFFSET('Data Entry'!$A$4,0,-1+MATCH(IF(LEFT($A30,1)=" ",RIGHT($A30,LEN($A30)-1),$A30),Trackerdata[#Headers],)),""),"")</f>
        <v/>
      </c>
    </row>
    <row r="31" spans="1:6" x14ac:dyDescent="0.25">
      <c r="A31" s="74" t="s">
        <v>91</v>
      </c>
      <c r="B31" s="88">
        <v>10</v>
      </c>
      <c r="D31" s="86">
        <f ca="1">IFERROR(IF(OFFSET('Data Entry'!$A$2,0,-1+MATCH(IF(LEFT($A31,1)=" ",RIGHT($A31,LEN($A31)-1),$A31),Trackerdata[#Headers],))&lt;&gt;0,OFFSET('Data Entry'!$A$2,0,-1+MATCH(IF(LEFT($A31,1)=" ",RIGHT($A31,LEN($A31)-1),$A31),Trackerdata[#Headers],)),""),"")</f>
        <v>10</v>
      </c>
      <c r="E31" s="89">
        <f ca="1">IFERROR(IF(OFFSET('Data Entry'!$A$3,0,-1+MATCH(IF(LEFT($A31,1)=" ",RIGHT($A31,LEN($A31)-1),$A31),Trackerdata[#Headers],))&lt;&gt;0,OFFSET('Data Entry'!$A$3,0,-1+MATCH(IF(LEFT($A31,1)=" ",RIGHT($A31,LEN($A31)-1),$A31),Trackerdata[#Headers],)),""),"")</f>
        <v>1</v>
      </c>
      <c r="F31" s="97">
        <f ca="1">IFERROR(IF(OFFSET('Data Entry'!$A$4,0,-1+MATCH(IF(LEFT($A31,1)=" ",RIGHT($A31,LEN($A31)-1),$A31),Trackerdata[#Headers],))&lt;&gt;0,OFFSET('Data Entry'!$A$4,0,-1+MATCH(IF(LEFT($A31,1)=" ",RIGHT($A31,LEN($A31)-1),$A31),Trackerdata[#Headers],)),""),"")</f>
        <v>41294</v>
      </c>
    </row>
    <row r="32" spans="1:6" x14ac:dyDescent="0.25">
      <c r="A32" s="74" t="s">
        <v>92</v>
      </c>
      <c r="B32" s="88" t="s">
        <v>93</v>
      </c>
      <c r="D32" s="86">
        <f ca="1">IFERROR(IF(OFFSET('Data Entry'!$A$2,0,-1+MATCH(IF(LEFT($A32,1)=" ",RIGHT($A32,LEN($A32)-1),$A32),Trackerdata[#Headers],))&lt;&gt;0,OFFSET('Data Entry'!$A$2,0,-1+MATCH(IF(LEFT($A32,1)=" ",RIGHT($A32,LEN($A32)-1),$A32),Trackerdata[#Headers],)),""),"")</f>
        <v>15</v>
      </c>
      <c r="E32" s="89">
        <f ca="1">IFERROR(IF(OFFSET('Data Entry'!$A$3,0,-1+MATCH(IF(LEFT($A32,1)=" ",RIGHT($A32,LEN($A32)-1),$A32),Trackerdata[#Headers],))&lt;&gt;0,OFFSET('Data Entry'!$A$3,0,-1+MATCH(IF(LEFT($A32,1)=" ",RIGHT($A32,LEN($A32)-1),$A32),Trackerdata[#Headers],)),""),"")</f>
        <v>1</v>
      </c>
      <c r="F32" s="97">
        <f ca="1">IFERROR(IF(OFFSET('Data Entry'!$A$4,0,-1+MATCH(IF(LEFT($A32,1)=" ",RIGHT($A32,LEN($A32)-1),$A32),Trackerdata[#Headers],))&lt;&gt;0,OFFSET('Data Entry'!$A$4,0,-1+MATCH(IF(LEFT($A32,1)=" ",RIGHT($A32,LEN($A32)-1),$A32),Trackerdata[#Headers],)),""),"")</f>
        <v>41299</v>
      </c>
    </row>
    <row r="33" spans="1:6" x14ac:dyDescent="0.25">
      <c r="A33" s="74" t="s">
        <v>103</v>
      </c>
      <c r="B33" s="88">
        <v>5</v>
      </c>
      <c r="D33" s="86">
        <f ca="1">IFERROR(IF(OFFSET('Data Entry'!$A$2,0,-1+MATCH(IF(LEFT($A33,1)=" ",RIGHT($A33,LEN($A33)-1),$A33),Trackerdata[#Headers],))&lt;&gt;0,OFFSET('Data Entry'!$A$2,0,-1+MATCH(IF(LEFT($A33,1)=" ",RIGHT($A33,LEN($A33)-1),$A33),Trackerdata[#Headers],)),""),"")</f>
        <v>5</v>
      </c>
      <c r="E33" s="89">
        <f ca="1">IFERROR(IF(OFFSET('Data Entry'!$A$3,0,-1+MATCH(IF(LEFT($A33,1)=" ",RIGHT($A33,LEN($A33)-1),$A33),Trackerdata[#Headers],))&lt;&gt;0,OFFSET('Data Entry'!$A$3,0,-1+MATCH(IF(LEFT($A33,1)=" ",RIGHT($A33,LEN($A33)-1),$A33),Trackerdata[#Headers],)),""),"")</f>
        <v>1</v>
      </c>
      <c r="F33" s="97">
        <f ca="1">IFERROR(IF(OFFSET('Data Entry'!$A$4,0,-1+MATCH(IF(LEFT($A33,1)=" ",RIGHT($A33,LEN($A33)-1),$A33),Trackerdata[#Headers],))&lt;&gt;0,OFFSET('Data Entry'!$A$4,0,-1+MATCH(IF(LEFT($A33,1)=" ",RIGHT($A33,LEN($A33)-1),$A33),Trackerdata[#Headers],)),""),"")</f>
        <v>41301</v>
      </c>
    </row>
    <row r="34" spans="1:6" x14ac:dyDescent="0.25">
      <c r="A34" s="74" t="s">
        <v>485</v>
      </c>
      <c r="B34" s="88">
        <v>100</v>
      </c>
      <c r="D34" s="86">
        <f ca="1">IFERROR(IF(OFFSET('Data Entry'!$A$2,0,-1+MATCH(IF(LEFT($A34,1)=" ",RIGHT($A34,LEN($A34)-1),$A34),Trackerdata[#Headers],))&lt;&gt;0,OFFSET('Data Entry'!$A$2,0,-1+MATCH(IF(LEFT($A34,1)=" ",RIGHT($A34,LEN($A34)-1),$A34),Trackerdata[#Headers],)),""),"")</f>
        <v>100</v>
      </c>
      <c r="E34" s="89" t="str">
        <f ca="1">IFERROR(IF(OFFSET('Data Entry'!$A$3,0,-1+MATCH(IF(LEFT($A34,1)=" ",RIGHT($A34,LEN($A34)-1),$A34),Trackerdata[#Headers],))&lt;&gt;0,OFFSET('Data Entry'!$A$3,0,-1+MATCH(IF(LEFT($A34,1)=" ",RIGHT($A34,LEN($A34)-1),$A34),Trackerdata[#Headers],)),""),"")</f>
        <v/>
      </c>
      <c r="F34" s="97" t="str">
        <f ca="1">IFERROR(IF(OFFSET('Data Entry'!$A$4,0,-1+MATCH(IF(LEFT($A34,1)=" ",RIGHT($A34,LEN($A34)-1),$A34),Trackerdata[#Headers],))&lt;&gt;0,OFFSET('Data Entry'!$A$4,0,-1+MATCH(IF(LEFT($A34,1)=" ",RIGHT($A34,LEN($A34)-1),$A34),Trackerdata[#Headers],)),""),"")</f>
        <v/>
      </c>
    </row>
    <row r="35" spans="1:6" x14ac:dyDescent="0.25">
      <c r="A35" s="73" t="s">
        <v>53</v>
      </c>
      <c r="D35" s="86" t="str">
        <f ca="1">IFERROR(IF(OFFSET('Data Entry'!$A$2,0,-1+MATCH(IF(LEFT($A35,1)=" ",RIGHT($A35,LEN($A35)-1),$A35),Trackerdata[#Headers],))&lt;&gt;0,OFFSET('Data Entry'!$A$2,0,-1+MATCH(IF(LEFT($A35,1)=" ",RIGHT($A35,LEN($A35)-1),$A35),Trackerdata[#Headers],)),""),"")</f>
        <v/>
      </c>
      <c r="E35" s="89" t="str">
        <f ca="1">IFERROR(IF(OFFSET('Data Entry'!$A$3,0,-1+MATCH(IF(LEFT($A35,1)=" ",RIGHT($A35,LEN($A35)-1),$A35),Trackerdata[#Headers],))&lt;&gt;0,OFFSET('Data Entry'!$A$3,0,-1+MATCH(IF(LEFT($A35,1)=" ",RIGHT($A35,LEN($A35)-1),$A35),Trackerdata[#Headers],)),""),"")</f>
        <v/>
      </c>
      <c r="F35" s="97" t="str">
        <f ca="1">IFERROR(IF(OFFSET('Data Entry'!$A$4,0,-1+MATCH(IF(LEFT($A35,1)=" ",RIGHT($A35,LEN($A35)-1),$A35),Trackerdata[#Headers],))&lt;&gt;0,OFFSET('Data Entry'!$A$4,0,-1+MATCH(IF(LEFT($A35,1)=" ",RIGHT($A35,LEN($A35)-1),$A35),Trackerdata[#Headers],)),""),"")</f>
        <v/>
      </c>
    </row>
    <row r="36" spans="1:6" x14ac:dyDescent="0.25">
      <c r="A36" s="74" t="s">
        <v>91</v>
      </c>
      <c r="B36" s="88">
        <v>10</v>
      </c>
      <c r="D36" s="86">
        <f ca="1">IFERROR(IF(OFFSET('Data Entry'!$A$2,0,-1+MATCH(IF(LEFT($A36,1)=" ",RIGHT($A36,LEN($A36)-1),$A36),Trackerdata[#Headers],))&lt;&gt;0,OFFSET('Data Entry'!$A$2,0,-1+MATCH(IF(LEFT($A36,1)=" ",RIGHT($A36,LEN($A36)-1),$A36),Trackerdata[#Headers],)),""),"")</f>
        <v>10</v>
      </c>
      <c r="E36" s="89">
        <f ca="1">IFERROR(IF(OFFSET('Data Entry'!$A$3,0,-1+MATCH(IF(LEFT($A36,1)=" ",RIGHT($A36,LEN($A36)-1),$A36),Trackerdata[#Headers],))&lt;&gt;0,OFFSET('Data Entry'!$A$3,0,-1+MATCH(IF(LEFT($A36,1)=" ",RIGHT($A36,LEN($A36)-1),$A36),Trackerdata[#Headers],)),""),"")</f>
        <v>1</v>
      </c>
      <c r="F36" s="97">
        <f ca="1">IFERROR(IF(OFFSET('Data Entry'!$A$4,0,-1+MATCH(IF(LEFT($A36,1)=" ",RIGHT($A36,LEN($A36)-1),$A36),Trackerdata[#Headers],))&lt;&gt;0,OFFSET('Data Entry'!$A$4,0,-1+MATCH(IF(LEFT($A36,1)=" ",RIGHT($A36,LEN($A36)-1),$A36),Trackerdata[#Headers],)),""),"")</f>
        <v>41294</v>
      </c>
    </row>
    <row r="37" spans="1:6" x14ac:dyDescent="0.25">
      <c r="A37" s="74" t="s">
        <v>92</v>
      </c>
      <c r="B37" s="88">
        <v>15</v>
      </c>
      <c r="D37" s="86">
        <f ca="1">IFERROR(IF(OFFSET('Data Entry'!$A$2,0,-1+MATCH(IF(LEFT($A37,1)=" ",RIGHT($A37,LEN($A37)-1),$A37),Trackerdata[#Headers],))&lt;&gt;0,OFFSET('Data Entry'!$A$2,0,-1+MATCH(IF(LEFT($A37,1)=" ",RIGHT($A37,LEN($A37)-1),$A37),Trackerdata[#Headers],)),""),"")</f>
        <v>15</v>
      </c>
      <c r="E37" s="89">
        <f ca="1">IFERROR(IF(OFFSET('Data Entry'!$A$3,0,-1+MATCH(IF(LEFT($A37,1)=" ",RIGHT($A37,LEN($A37)-1),$A37),Trackerdata[#Headers],))&lt;&gt;0,OFFSET('Data Entry'!$A$3,0,-1+MATCH(IF(LEFT($A37,1)=" ",RIGHT($A37,LEN($A37)-1),$A37),Trackerdata[#Headers],)),""),"")</f>
        <v>1</v>
      </c>
      <c r="F37" s="97">
        <f ca="1">IFERROR(IF(OFFSET('Data Entry'!$A$4,0,-1+MATCH(IF(LEFT($A37,1)=" ",RIGHT($A37,LEN($A37)-1),$A37),Trackerdata[#Headers],))&lt;&gt;0,OFFSET('Data Entry'!$A$4,0,-1+MATCH(IF(LEFT($A37,1)=" ",RIGHT($A37,LEN($A37)-1),$A37),Trackerdata[#Headers],)),""),"")</f>
        <v>41299</v>
      </c>
    </row>
    <row r="38" spans="1:6" x14ac:dyDescent="0.25">
      <c r="A38" s="74" t="s">
        <v>103</v>
      </c>
      <c r="B38" s="88">
        <v>4</v>
      </c>
      <c r="D38" s="86">
        <f ca="1">IFERROR(IF(OFFSET('Data Entry'!$A$2,0,-1+MATCH(IF(LEFT($A38,1)=" ",RIGHT($A38,LEN($A38)-1),$A38),Trackerdata[#Headers],))&lt;&gt;0,OFFSET('Data Entry'!$A$2,0,-1+MATCH(IF(LEFT($A38,1)=" ",RIGHT($A38,LEN($A38)-1),$A38),Trackerdata[#Headers],)),""),"")</f>
        <v>5</v>
      </c>
      <c r="E38" s="89">
        <f ca="1">IFERROR(IF(OFFSET('Data Entry'!$A$3,0,-1+MATCH(IF(LEFT($A38,1)=" ",RIGHT($A38,LEN($A38)-1),$A38),Trackerdata[#Headers],))&lt;&gt;0,OFFSET('Data Entry'!$A$3,0,-1+MATCH(IF(LEFT($A38,1)=" ",RIGHT($A38,LEN($A38)-1),$A38),Trackerdata[#Headers],)),""),"")</f>
        <v>1</v>
      </c>
      <c r="F38" s="97">
        <f ca="1">IFERROR(IF(OFFSET('Data Entry'!$A$4,0,-1+MATCH(IF(LEFT($A38,1)=" ",RIGHT($A38,LEN($A38)-1),$A38),Trackerdata[#Headers],))&lt;&gt;0,OFFSET('Data Entry'!$A$4,0,-1+MATCH(IF(LEFT($A38,1)=" ",RIGHT($A38,LEN($A38)-1),$A38),Trackerdata[#Headers],)),""),"")</f>
        <v>41301</v>
      </c>
    </row>
    <row r="39" spans="1:6" x14ac:dyDescent="0.25">
      <c r="A39" s="74" t="s">
        <v>485</v>
      </c>
      <c r="B39" s="88">
        <v>96.666666666666671</v>
      </c>
      <c r="D39" s="86">
        <f ca="1">IFERROR(IF(OFFSET('Data Entry'!$A$2,0,-1+MATCH(IF(LEFT($A39,1)=" ",RIGHT($A39,LEN($A39)-1),$A39),Trackerdata[#Headers],))&lt;&gt;0,OFFSET('Data Entry'!$A$2,0,-1+MATCH(IF(LEFT($A39,1)=" ",RIGHT($A39,LEN($A39)-1),$A39),Trackerdata[#Headers],)),""),"")</f>
        <v>100</v>
      </c>
      <c r="E39" s="89" t="str">
        <f ca="1">IFERROR(IF(OFFSET('Data Entry'!$A$3,0,-1+MATCH(IF(LEFT($A39,1)=" ",RIGHT($A39,LEN($A39)-1),$A39),Trackerdata[#Headers],))&lt;&gt;0,OFFSET('Data Entry'!$A$3,0,-1+MATCH(IF(LEFT($A39,1)=" ",RIGHT($A39,LEN($A39)-1),$A39),Trackerdata[#Headers],)),""),"")</f>
        <v/>
      </c>
      <c r="F39" s="97" t="str">
        <f ca="1">IFERROR(IF(OFFSET('Data Entry'!$A$4,0,-1+MATCH(IF(LEFT($A39,1)=" ",RIGHT($A39,LEN($A39)-1),$A39),Trackerdata[#Headers],))&lt;&gt;0,OFFSET('Data Entry'!$A$4,0,-1+MATCH(IF(LEFT($A39,1)=" ",RIGHT($A39,LEN($A39)-1),$A39),Trackerdata[#Headers],)),""),"")</f>
        <v/>
      </c>
    </row>
    <row r="40" spans="1:6" x14ac:dyDescent="0.25">
      <c r="A40" s="73" t="s">
        <v>54</v>
      </c>
      <c r="D40" s="86" t="str">
        <f ca="1">IFERROR(IF(OFFSET('Data Entry'!$A$2,0,-1+MATCH(IF(LEFT($A40,1)=" ",RIGHT($A40,LEN($A40)-1),$A40),Trackerdata[#Headers],))&lt;&gt;0,OFFSET('Data Entry'!$A$2,0,-1+MATCH(IF(LEFT($A40,1)=" ",RIGHT($A40,LEN($A40)-1),$A40),Trackerdata[#Headers],)),""),"")</f>
        <v/>
      </c>
      <c r="E40" s="89" t="str">
        <f ca="1">IFERROR(IF(OFFSET('Data Entry'!$A$3,0,-1+MATCH(IF(LEFT($A40,1)=" ",RIGHT($A40,LEN($A40)-1),$A40),Trackerdata[#Headers],))&lt;&gt;0,OFFSET('Data Entry'!$A$3,0,-1+MATCH(IF(LEFT($A40,1)=" ",RIGHT($A40,LEN($A40)-1),$A40),Trackerdata[#Headers],)),""),"")</f>
        <v/>
      </c>
      <c r="F40" s="97" t="str">
        <f ca="1">IFERROR(IF(OFFSET('Data Entry'!$A$4,0,-1+MATCH(IF(LEFT($A40,1)=" ",RIGHT($A40,LEN($A40)-1),$A40),Trackerdata[#Headers],))&lt;&gt;0,OFFSET('Data Entry'!$A$4,0,-1+MATCH(IF(LEFT($A40,1)=" ",RIGHT($A40,LEN($A40)-1),$A40),Trackerdata[#Headers],)),""),"")</f>
        <v/>
      </c>
    </row>
    <row r="41" spans="1:6" x14ac:dyDescent="0.25">
      <c r="A41" s="74" t="s">
        <v>91</v>
      </c>
      <c r="D41" s="86">
        <f ca="1">IFERROR(IF(OFFSET('Data Entry'!$A$2,0,-1+MATCH(IF(LEFT($A41,1)=" ",RIGHT($A41,LEN($A41)-1),$A41),Trackerdata[#Headers],))&lt;&gt;0,OFFSET('Data Entry'!$A$2,0,-1+MATCH(IF(LEFT($A41,1)=" ",RIGHT($A41,LEN($A41)-1),$A41),Trackerdata[#Headers],)),""),"")</f>
        <v>10</v>
      </c>
      <c r="E41" s="89">
        <f ca="1">IFERROR(IF(OFFSET('Data Entry'!$A$3,0,-1+MATCH(IF(LEFT($A41,1)=" ",RIGHT($A41,LEN($A41)-1),$A41),Trackerdata[#Headers],))&lt;&gt;0,OFFSET('Data Entry'!$A$3,0,-1+MATCH(IF(LEFT($A41,1)=" ",RIGHT($A41,LEN($A41)-1),$A41),Trackerdata[#Headers],)),""),"")</f>
        <v>1</v>
      </c>
      <c r="F41" s="97">
        <f ca="1">IFERROR(IF(OFFSET('Data Entry'!$A$4,0,-1+MATCH(IF(LEFT($A41,1)=" ",RIGHT($A41,LEN($A41)-1),$A41),Trackerdata[#Headers],))&lt;&gt;0,OFFSET('Data Entry'!$A$4,0,-1+MATCH(IF(LEFT($A41,1)=" ",RIGHT($A41,LEN($A41)-1),$A41),Trackerdata[#Headers],)),""),"")</f>
        <v>41294</v>
      </c>
    </row>
    <row r="42" spans="1:6" x14ac:dyDescent="0.25">
      <c r="A42" s="74" t="s">
        <v>92</v>
      </c>
      <c r="D42" s="86">
        <f ca="1">IFERROR(IF(OFFSET('Data Entry'!$A$2,0,-1+MATCH(IF(LEFT($A42,1)=" ",RIGHT($A42,LEN($A42)-1),$A42),Trackerdata[#Headers],))&lt;&gt;0,OFFSET('Data Entry'!$A$2,0,-1+MATCH(IF(LEFT($A42,1)=" ",RIGHT($A42,LEN($A42)-1),$A42),Trackerdata[#Headers],)),""),"")</f>
        <v>15</v>
      </c>
      <c r="E42" s="89">
        <f ca="1">IFERROR(IF(OFFSET('Data Entry'!$A$3,0,-1+MATCH(IF(LEFT($A42,1)=" ",RIGHT($A42,LEN($A42)-1),$A42),Trackerdata[#Headers],))&lt;&gt;0,OFFSET('Data Entry'!$A$3,0,-1+MATCH(IF(LEFT($A42,1)=" ",RIGHT($A42,LEN($A42)-1),$A42),Trackerdata[#Headers],)),""),"")</f>
        <v>1</v>
      </c>
      <c r="F42" s="97">
        <f ca="1">IFERROR(IF(OFFSET('Data Entry'!$A$4,0,-1+MATCH(IF(LEFT($A42,1)=" ",RIGHT($A42,LEN($A42)-1),$A42),Trackerdata[#Headers],))&lt;&gt;0,OFFSET('Data Entry'!$A$4,0,-1+MATCH(IF(LEFT($A42,1)=" ",RIGHT($A42,LEN($A42)-1),$A42),Trackerdata[#Headers],)),""),"")</f>
        <v>41299</v>
      </c>
    </row>
    <row r="43" spans="1:6" x14ac:dyDescent="0.25">
      <c r="A43" s="74" t="s">
        <v>103</v>
      </c>
      <c r="D43" s="86">
        <f ca="1">IFERROR(IF(OFFSET('Data Entry'!$A$2,0,-1+MATCH(IF(LEFT($A43,1)=" ",RIGHT($A43,LEN($A43)-1),$A43),Trackerdata[#Headers],))&lt;&gt;0,OFFSET('Data Entry'!$A$2,0,-1+MATCH(IF(LEFT($A43,1)=" ",RIGHT($A43,LEN($A43)-1),$A43),Trackerdata[#Headers],)),""),"")</f>
        <v>5</v>
      </c>
      <c r="E43" s="89">
        <f ca="1">IFERROR(IF(OFFSET('Data Entry'!$A$3,0,-1+MATCH(IF(LEFT($A43,1)=" ",RIGHT($A43,LEN($A43)-1),$A43),Trackerdata[#Headers],))&lt;&gt;0,OFFSET('Data Entry'!$A$3,0,-1+MATCH(IF(LEFT($A43,1)=" ",RIGHT($A43,LEN($A43)-1),$A43),Trackerdata[#Headers],)),""),"")</f>
        <v>1</v>
      </c>
      <c r="F43" s="97">
        <f ca="1">IFERROR(IF(OFFSET('Data Entry'!$A$4,0,-1+MATCH(IF(LEFT($A43,1)=" ",RIGHT($A43,LEN($A43)-1),$A43),Trackerdata[#Headers],))&lt;&gt;0,OFFSET('Data Entry'!$A$4,0,-1+MATCH(IF(LEFT($A43,1)=" ",RIGHT($A43,LEN($A43)-1),$A43),Trackerdata[#Headers],)),""),"")</f>
        <v>41301</v>
      </c>
    </row>
    <row r="44" spans="1:6" x14ac:dyDescent="0.25">
      <c r="A44" s="74" t="s">
        <v>485</v>
      </c>
      <c r="B44" s="88">
        <v>0</v>
      </c>
      <c r="D44" s="86">
        <f ca="1">IFERROR(IF(OFFSET('Data Entry'!$A$2,0,-1+MATCH(IF(LEFT($A44,1)=" ",RIGHT($A44,LEN($A44)-1),$A44),Trackerdata[#Headers],))&lt;&gt;0,OFFSET('Data Entry'!$A$2,0,-1+MATCH(IF(LEFT($A44,1)=" ",RIGHT($A44,LEN($A44)-1),$A44),Trackerdata[#Headers],)),""),"")</f>
        <v>100</v>
      </c>
      <c r="E44" s="89" t="str">
        <f ca="1">IFERROR(IF(OFFSET('Data Entry'!$A$3,0,-1+MATCH(IF(LEFT($A44,1)=" ",RIGHT($A44,LEN($A44)-1),$A44),Trackerdata[#Headers],))&lt;&gt;0,OFFSET('Data Entry'!$A$3,0,-1+MATCH(IF(LEFT($A44,1)=" ",RIGHT($A44,LEN($A44)-1),$A44),Trackerdata[#Headers],)),""),"")</f>
        <v/>
      </c>
      <c r="F44" s="97" t="str">
        <f ca="1">IFERROR(IF(OFFSET('Data Entry'!$A$4,0,-1+MATCH(IF(LEFT($A44,1)=" ",RIGHT($A44,LEN($A44)-1),$A44),Trackerdata[#Headers],))&lt;&gt;0,OFFSET('Data Entry'!$A$4,0,-1+MATCH(IF(LEFT($A44,1)=" ",RIGHT($A44,LEN($A44)-1),$A44),Trackerdata[#Headers],)),""),"")</f>
        <v/>
      </c>
    </row>
    <row r="45" spans="1:6" x14ac:dyDescent="0.25">
      <c r="A45" s="73" t="s">
        <v>55</v>
      </c>
      <c r="D45" s="86" t="str">
        <f ca="1">IFERROR(IF(OFFSET('Data Entry'!$A$2,0,-1+MATCH(IF(LEFT($A45,1)=" ",RIGHT($A45,LEN($A45)-1),$A45),Trackerdata[#Headers],))&lt;&gt;0,OFFSET('Data Entry'!$A$2,0,-1+MATCH(IF(LEFT($A45,1)=" ",RIGHT($A45,LEN($A45)-1),$A45),Trackerdata[#Headers],)),""),"")</f>
        <v/>
      </c>
      <c r="E45" s="89" t="str">
        <f ca="1">IFERROR(IF(OFFSET('Data Entry'!$A$3,0,-1+MATCH(IF(LEFT($A45,1)=" ",RIGHT($A45,LEN($A45)-1),$A45),Trackerdata[#Headers],))&lt;&gt;0,OFFSET('Data Entry'!$A$3,0,-1+MATCH(IF(LEFT($A45,1)=" ",RIGHT($A45,LEN($A45)-1),$A45),Trackerdata[#Headers],)),""),"")</f>
        <v/>
      </c>
      <c r="F45" s="97" t="str">
        <f ca="1">IFERROR(IF(OFFSET('Data Entry'!$A$4,0,-1+MATCH(IF(LEFT($A45,1)=" ",RIGHT($A45,LEN($A45)-1),$A45),Trackerdata[#Headers],))&lt;&gt;0,OFFSET('Data Entry'!$A$4,0,-1+MATCH(IF(LEFT($A45,1)=" ",RIGHT($A45,LEN($A45)-1),$A45),Trackerdata[#Headers],)),""),"")</f>
        <v/>
      </c>
    </row>
    <row r="46" spans="1:6" x14ac:dyDescent="0.25">
      <c r="A46" s="74" t="s">
        <v>91</v>
      </c>
      <c r="D46" s="86">
        <f ca="1">IFERROR(IF(OFFSET('Data Entry'!$A$2,0,-1+MATCH(IF(LEFT($A46,1)=" ",RIGHT($A46,LEN($A46)-1),$A46),Trackerdata[#Headers],))&lt;&gt;0,OFFSET('Data Entry'!$A$2,0,-1+MATCH(IF(LEFT($A46,1)=" ",RIGHT($A46,LEN($A46)-1),$A46),Trackerdata[#Headers],)),""),"")</f>
        <v>10</v>
      </c>
      <c r="E46" s="89">
        <f ca="1">IFERROR(IF(OFFSET('Data Entry'!$A$3,0,-1+MATCH(IF(LEFT($A46,1)=" ",RIGHT($A46,LEN($A46)-1),$A46),Trackerdata[#Headers],))&lt;&gt;0,OFFSET('Data Entry'!$A$3,0,-1+MATCH(IF(LEFT($A46,1)=" ",RIGHT($A46,LEN($A46)-1),$A46),Trackerdata[#Headers],)),""),"")</f>
        <v>1</v>
      </c>
      <c r="F46" s="97">
        <f ca="1">IFERROR(IF(OFFSET('Data Entry'!$A$4,0,-1+MATCH(IF(LEFT($A46,1)=" ",RIGHT($A46,LEN($A46)-1),$A46),Trackerdata[#Headers],))&lt;&gt;0,OFFSET('Data Entry'!$A$4,0,-1+MATCH(IF(LEFT($A46,1)=" ",RIGHT($A46,LEN($A46)-1),$A46),Trackerdata[#Headers],)),""),"")</f>
        <v>41294</v>
      </c>
    </row>
    <row r="47" spans="1:6" x14ac:dyDescent="0.25">
      <c r="A47" s="74" t="s">
        <v>92</v>
      </c>
      <c r="D47" s="86">
        <f ca="1">IFERROR(IF(OFFSET('Data Entry'!$A$2,0,-1+MATCH(IF(LEFT($A47,1)=" ",RIGHT($A47,LEN($A47)-1),$A47),Trackerdata[#Headers],))&lt;&gt;0,OFFSET('Data Entry'!$A$2,0,-1+MATCH(IF(LEFT($A47,1)=" ",RIGHT($A47,LEN($A47)-1),$A47),Trackerdata[#Headers],)),""),"")</f>
        <v>15</v>
      </c>
      <c r="E47" s="89">
        <f ca="1">IFERROR(IF(OFFSET('Data Entry'!$A$3,0,-1+MATCH(IF(LEFT($A47,1)=" ",RIGHT($A47,LEN($A47)-1),$A47),Trackerdata[#Headers],))&lt;&gt;0,OFFSET('Data Entry'!$A$3,0,-1+MATCH(IF(LEFT($A47,1)=" ",RIGHT($A47,LEN($A47)-1),$A47),Trackerdata[#Headers],)),""),"")</f>
        <v>1</v>
      </c>
      <c r="F47" s="97">
        <f ca="1">IFERROR(IF(OFFSET('Data Entry'!$A$4,0,-1+MATCH(IF(LEFT($A47,1)=" ",RIGHT($A47,LEN($A47)-1),$A47),Trackerdata[#Headers],))&lt;&gt;0,OFFSET('Data Entry'!$A$4,0,-1+MATCH(IF(LEFT($A47,1)=" ",RIGHT($A47,LEN($A47)-1),$A47),Trackerdata[#Headers],)),""),"")</f>
        <v>41299</v>
      </c>
    </row>
    <row r="48" spans="1:6" x14ac:dyDescent="0.25">
      <c r="A48" s="74" t="s">
        <v>103</v>
      </c>
      <c r="D48" s="86">
        <f ca="1">IFERROR(IF(OFFSET('Data Entry'!$A$2,0,-1+MATCH(IF(LEFT($A48,1)=" ",RIGHT($A48,LEN($A48)-1),$A48),Trackerdata[#Headers],))&lt;&gt;0,OFFSET('Data Entry'!$A$2,0,-1+MATCH(IF(LEFT($A48,1)=" ",RIGHT($A48,LEN($A48)-1),$A48),Trackerdata[#Headers],)),""),"")</f>
        <v>5</v>
      </c>
      <c r="E48" s="89">
        <f ca="1">IFERROR(IF(OFFSET('Data Entry'!$A$3,0,-1+MATCH(IF(LEFT($A48,1)=" ",RIGHT($A48,LEN($A48)-1),$A48),Trackerdata[#Headers],))&lt;&gt;0,OFFSET('Data Entry'!$A$3,0,-1+MATCH(IF(LEFT($A48,1)=" ",RIGHT($A48,LEN($A48)-1),$A48),Trackerdata[#Headers],)),""),"")</f>
        <v>1</v>
      </c>
      <c r="F48" s="97">
        <f ca="1">IFERROR(IF(OFFSET('Data Entry'!$A$4,0,-1+MATCH(IF(LEFT($A48,1)=" ",RIGHT($A48,LEN($A48)-1),$A48),Trackerdata[#Headers],))&lt;&gt;0,OFFSET('Data Entry'!$A$4,0,-1+MATCH(IF(LEFT($A48,1)=" ",RIGHT($A48,LEN($A48)-1),$A48),Trackerdata[#Headers],)),""),"")</f>
        <v>41301</v>
      </c>
    </row>
    <row r="49" spans="1:6" x14ac:dyDescent="0.25">
      <c r="A49" s="74" t="s">
        <v>485</v>
      </c>
      <c r="B49" s="88">
        <v>0</v>
      </c>
      <c r="D49" s="86">
        <f ca="1">IFERROR(IF(OFFSET('Data Entry'!$A$2,0,-1+MATCH(IF(LEFT($A49,1)=" ",RIGHT($A49,LEN($A49)-1),$A49),Trackerdata[#Headers],))&lt;&gt;0,OFFSET('Data Entry'!$A$2,0,-1+MATCH(IF(LEFT($A49,1)=" ",RIGHT($A49,LEN($A49)-1),$A49),Trackerdata[#Headers],)),""),"")</f>
        <v>100</v>
      </c>
      <c r="E49" s="89" t="str">
        <f ca="1">IFERROR(IF(OFFSET('Data Entry'!$A$3,0,-1+MATCH(IF(LEFT($A49,1)=" ",RIGHT($A49,LEN($A49)-1),$A49),Trackerdata[#Headers],))&lt;&gt;0,OFFSET('Data Entry'!$A$3,0,-1+MATCH(IF(LEFT($A49,1)=" ",RIGHT($A49,LEN($A49)-1),$A49),Trackerdata[#Headers],)),""),"")</f>
        <v/>
      </c>
      <c r="F49" s="97" t="str">
        <f ca="1">IFERROR(IF(OFFSET('Data Entry'!$A$4,0,-1+MATCH(IF(LEFT($A49,1)=" ",RIGHT($A49,LEN($A49)-1),$A49),Trackerdata[#Headers],))&lt;&gt;0,OFFSET('Data Entry'!$A$4,0,-1+MATCH(IF(LEFT($A49,1)=" ",RIGHT($A49,LEN($A49)-1),$A49),Trackerdata[#Headers],)),""),"")</f>
        <v/>
      </c>
    </row>
    <row r="50" spans="1:6" x14ac:dyDescent="0.25">
      <c r="A50" s="73" t="s">
        <v>56</v>
      </c>
      <c r="D50" s="86" t="str">
        <f ca="1">IFERROR(IF(OFFSET('Data Entry'!$A$2,0,-1+MATCH(IF(LEFT($A50,1)=" ",RIGHT($A50,LEN($A50)-1),$A50),Trackerdata[#Headers],))&lt;&gt;0,OFFSET('Data Entry'!$A$2,0,-1+MATCH(IF(LEFT($A50,1)=" ",RIGHT($A50,LEN($A50)-1),$A50),Trackerdata[#Headers],)),""),"")</f>
        <v/>
      </c>
      <c r="E50" s="89" t="str">
        <f ca="1">IFERROR(IF(OFFSET('Data Entry'!$A$3,0,-1+MATCH(IF(LEFT($A50,1)=" ",RIGHT($A50,LEN($A50)-1),$A50),Trackerdata[#Headers],))&lt;&gt;0,OFFSET('Data Entry'!$A$3,0,-1+MATCH(IF(LEFT($A50,1)=" ",RIGHT($A50,LEN($A50)-1),$A50),Trackerdata[#Headers],)),""),"")</f>
        <v/>
      </c>
      <c r="F50" s="97" t="str">
        <f ca="1">IFERROR(IF(OFFSET('Data Entry'!$A$4,0,-1+MATCH(IF(LEFT($A50,1)=" ",RIGHT($A50,LEN($A50)-1),$A50),Trackerdata[#Headers],))&lt;&gt;0,OFFSET('Data Entry'!$A$4,0,-1+MATCH(IF(LEFT($A50,1)=" ",RIGHT($A50,LEN($A50)-1),$A50),Trackerdata[#Headers],)),""),"")</f>
        <v/>
      </c>
    </row>
    <row r="51" spans="1:6" x14ac:dyDescent="0.25">
      <c r="A51" s="74" t="s">
        <v>91</v>
      </c>
      <c r="D51" s="86">
        <f ca="1">IFERROR(IF(OFFSET('Data Entry'!$A$2,0,-1+MATCH(IF(LEFT($A51,1)=" ",RIGHT($A51,LEN($A51)-1),$A51),Trackerdata[#Headers],))&lt;&gt;0,OFFSET('Data Entry'!$A$2,0,-1+MATCH(IF(LEFT($A51,1)=" ",RIGHT($A51,LEN($A51)-1),$A51),Trackerdata[#Headers],)),""),"")</f>
        <v>10</v>
      </c>
      <c r="E51" s="89">
        <f ca="1">IFERROR(IF(OFFSET('Data Entry'!$A$3,0,-1+MATCH(IF(LEFT($A51,1)=" ",RIGHT($A51,LEN($A51)-1),$A51),Trackerdata[#Headers],))&lt;&gt;0,OFFSET('Data Entry'!$A$3,0,-1+MATCH(IF(LEFT($A51,1)=" ",RIGHT($A51,LEN($A51)-1),$A51),Trackerdata[#Headers],)),""),"")</f>
        <v>1</v>
      </c>
      <c r="F51" s="97">
        <f ca="1">IFERROR(IF(OFFSET('Data Entry'!$A$4,0,-1+MATCH(IF(LEFT($A51,1)=" ",RIGHT($A51,LEN($A51)-1),$A51),Trackerdata[#Headers],))&lt;&gt;0,OFFSET('Data Entry'!$A$4,0,-1+MATCH(IF(LEFT($A51,1)=" ",RIGHT($A51,LEN($A51)-1),$A51),Trackerdata[#Headers],)),""),"")</f>
        <v>41294</v>
      </c>
    </row>
    <row r="52" spans="1:6" x14ac:dyDescent="0.25">
      <c r="A52" s="74" t="s">
        <v>92</v>
      </c>
      <c r="D52" s="86">
        <f ca="1">IFERROR(IF(OFFSET('Data Entry'!$A$2,0,-1+MATCH(IF(LEFT($A52,1)=" ",RIGHT($A52,LEN($A52)-1),$A52),Trackerdata[#Headers],))&lt;&gt;0,OFFSET('Data Entry'!$A$2,0,-1+MATCH(IF(LEFT($A52,1)=" ",RIGHT($A52,LEN($A52)-1),$A52),Trackerdata[#Headers],)),""),"")</f>
        <v>15</v>
      </c>
      <c r="E52" s="89">
        <f ca="1">IFERROR(IF(OFFSET('Data Entry'!$A$3,0,-1+MATCH(IF(LEFT($A52,1)=" ",RIGHT($A52,LEN($A52)-1),$A52),Trackerdata[#Headers],))&lt;&gt;0,OFFSET('Data Entry'!$A$3,0,-1+MATCH(IF(LEFT($A52,1)=" ",RIGHT($A52,LEN($A52)-1),$A52),Trackerdata[#Headers],)),""),"")</f>
        <v>1</v>
      </c>
      <c r="F52" s="97">
        <f ca="1">IFERROR(IF(OFFSET('Data Entry'!$A$4,0,-1+MATCH(IF(LEFT($A52,1)=" ",RIGHT($A52,LEN($A52)-1),$A52),Trackerdata[#Headers],))&lt;&gt;0,OFFSET('Data Entry'!$A$4,0,-1+MATCH(IF(LEFT($A52,1)=" ",RIGHT($A52,LEN($A52)-1),$A52),Trackerdata[#Headers],)),""),"")</f>
        <v>41299</v>
      </c>
    </row>
    <row r="53" spans="1:6" x14ac:dyDescent="0.25">
      <c r="A53" s="74" t="s">
        <v>103</v>
      </c>
      <c r="D53" s="86">
        <f ca="1">IFERROR(IF(OFFSET('Data Entry'!$A$2,0,-1+MATCH(IF(LEFT($A53,1)=" ",RIGHT($A53,LEN($A53)-1),$A53),Trackerdata[#Headers],))&lt;&gt;0,OFFSET('Data Entry'!$A$2,0,-1+MATCH(IF(LEFT($A53,1)=" ",RIGHT($A53,LEN($A53)-1),$A53),Trackerdata[#Headers],)),""),"")</f>
        <v>5</v>
      </c>
      <c r="E53" s="89">
        <f ca="1">IFERROR(IF(OFFSET('Data Entry'!$A$3,0,-1+MATCH(IF(LEFT($A53,1)=" ",RIGHT($A53,LEN($A53)-1),$A53),Trackerdata[#Headers],))&lt;&gt;0,OFFSET('Data Entry'!$A$3,0,-1+MATCH(IF(LEFT($A53,1)=" ",RIGHT($A53,LEN($A53)-1),$A53),Trackerdata[#Headers],)),""),"")</f>
        <v>1</v>
      </c>
      <c r="F53" s="97">
        <f ca="1">IFERROR(IF(OFFSET('Data Entry'!$A$4,0,-1+MATCH(IF(LEFT($A53,1)=" ",RIGHT($A53,LEN($A53)-1),$A53),Trackerdata[#Headers],))&lt;&gt;0,OFFSET('Data Entry'!$A$4,0,-1+MATCH(IF(LEFT($A53,1)=" ",RIGHT($A53,LEN($A53)-1),$A53),Trackerdata[#Headers],)),""),"")</f>
        <v>41301</v>
      </c>
    </row>
    <row r="54" spans="1:6" x14ac:dyDescent="0.25">
      <c r="A54" s="74" t="s">
        <v>485</v>
      </c>
      <c r="B54" s="88">
        <v>0</v>
      </c>
      <c r="D54" s="86">
        <f ca="1">IFERROR(IF(OFFSET('Data Entry'!$A$2,0,-1+MATCH(IF(LEFT($A54,1)=" ",RIGHT($A54,LEN($A54)-1),$A54),Trackerdata[#Headers],))&lt;&gt;0,OFFSET('Data Entry'!$A$2,0,-1+MATCH(IF(LEFT($A54,1)=" ",RIGHT($A54,LEN($A54)-1),$A54),Trackerdata[#Headers],)),""),"")</f>
        <v>100</v>
      </c>
      <c r="E54" s="89" t="str">
        <f ca="1">IFERROR(IF(OFFSET('Data Entry'!$A$3,0,-1+MATCH(IF(LEFT($A54,1)=" ",RIGHT($A54,LEN($A54)-1),$A54),Trackerdata[#Headers],))&lt;&gt;0,OFFSET('Data Entry'!$A$3,0,-1+MATCH(IF(LEFT($A54,1)=" ",RIGHT($A54,LEN($A54)-1),$A54),Trackerdata[#Headers],)),""),"")</f>
        <v/>
      </c>
      <c r="F54" s="97" t="str">
        <f ca="1">IFERROR(IF(OFFSET('Data Entry'!$A$4,0,-1+MATCH(IF(LEFT($A54,1)=" ",RIGHT($A54,LEN($A54)-1),$A54),Trackerdata[#Headers],))&lt;&gt;0,OFFSET('Data Entry'!$A$4,0,-1+MATCH(IF(LEFT($A54,1)=" ",RIGHT($A54,LEN($A54)-1),$A54),Trackerdata[#Headers],)),""),"")</f>
        <v/>
      </c>
    </row>
    <row r="55" spans="1:6" x14ac:dyDescent="0.25">
      <c r="A55" s="73" t="s">
        <v>57</v>
      </c>
      <c r="D55" s="86" t="str">
        <f ca="1">IFERROR(IF(OFFSET('Data Entry'!$A$2,0,-1+MATCH(IF(LEFT($A55,1)=" ",RIGHT($A55,LEN($A55)-1),$A55),Trackerdata[#Headers],))&lt;&gt;0,OFFSET('Data Entry'!$A$2,0,-1+MATCH(IF(LEFT($A55,1)=" ",RIGHT($A55,LEN($A55)-1),$A55),Trackerdata[#Headers],)),""),"")</f>
        <v/>
      </c>
      <c r="E55" s="89" t="str">
        <f ca="1">IFERROR(IF(OFFSET('Data Entry'!$A$3,0,-1+MATCH(IF(LEFT($A55,1)=" ",RIGHT($A55,LEN($A55)-1),$A55),Trackerdata[#Headers],))&lt;&gt;0,OFFSET('Data Entry'!$A$3,0,-1+MATCH(IF(LEFT($A55,1)=" ",RIGHT($A55,LEN($A55)-1),$A55),Trackerdata[#Headers],)),""),"")</f>
        <v/>
      </c>
      <c r="F55" s="97" t="str">
        <f ca="1">IFERROR(IF(OFFSET('Data Entry'!$A$4,0,-1+MATCH(IF(LEFT($A55,1)=" ",RIGHT($A55,LEN($A55)-1),$A55),Trackerdata[#Headers],))&lt;&gt;0,OFFSET('Data Entry'!$A$4,0,-1+MATCH(IF(LEFT($A55,1)=" ",RIGHT($A55,LEN($A55)-1),$A55),Trackerdata[#Headers],)),""),"")</f>
        <v/>
      </c>
    </row>
    <row r="56" spans="1:6" x14ac:dyDescent="0.25">
      <c r="A56" s="74" t="s">
        <v>91</v>
      </c>
      <c r="D56" s="86">
        <f ca="1">IFERROR(IF(OFFSET('Data Entry'!$A$2,0,-1+MATCH(IF(LEFT($A56,1)=" ",RIGHT($A56,LEN($A56)-1),$A56),Trackerdata[#Headers],))&lt;&gt;0,OFFSET('Data Entry'!$A$2,0,-1+MATCH(IF(LEFT($A56,1)=" ",RIGHT($A56,LEN($A56)-1),$A56),Trackerdata[#Headers],)),""),"")</f>
        <v>10</v>
      </c>
      <c r="E56" s="89">
        <f ca="1">IFERROR(IF(OFFSET('Data Entry'!$A$3,0,-1+MATCH(IF(LEFT($A56,1)=" ",RIGHT($A56,LEN($A56)-1),$A56),Trackerdata[#Headers],))&lt;&gt;0,OFFSET('Data Entry'!$A$3,0,-1+MATCH(IF(LEFT($A56,1)=" ",RIGHT($A56,LEN($A56)-1),$A56),Trackerdata[#Headers],)),""),"")</f>
        <v>1</v>
      </c>
      <c r="F56" s="97">
        <f ca="1">IFERROR(IF(OFFSET('Data Entry'!$A$4,0,-1+MATCH(IF(LEFT($A56,1)=" ",RIGHT($A56,LEN($A56)-1),$A56),Trackerdata[#Headers],))&lt;&gt;0,OFFSET('Data Entry'!$A$4,0,-1+MATCH(IF(LEFT($A56,1)=" ",RIGHT($A56,LEN($A56)-1),$A56),Trackerdata[#Headers],)),""),"")</f>
        <v>41294</v>
      </c>
    </row>
    <row r="57" spans="1:6" x14ac:dyDescent="0.25">
      <c r="A57" s="74" t="s">
        <v>92</v>
      </c>
      <c r="D57" s="86">
        <f ca="1">IFERROR(IF(OFFSET('Data Entry'!$A$2,0,-1+MATCH(IF(LEFT($A57,1)=" ",RIGHT($A57,LEN($A57)-1),$A57),Trackerdata[#Headers],))&lt;&gt;0,OFFSET('Data Entry'!$A$2,0,-1+MATCH(IF(LEFT($A57,1)=" ",RIGHT($A57,LEN($A57)-1),$A57),Trackerdata[#Headers],)),""),"")</f>
        <v>15</v>
      </c>
      <c r="E57" s="89">
        <f ca="1">IFERROR(IF(OFFSET('Data Entry'!$A$3,0,-1+MATCH(IF(LEFT($A57,1)=" ",RIGHT($A57,LEN($A57)-1),$A57),Trackerdata[#Headers],))&lt;&gt;0,OFFSET('Data Entry'!$A$3,0,-1+MATCH(IF(LEFT($A57,1)=" ",RIGHT($A57,LEN($A57)-1),$A57),Trackerdata[#Headers],)),""),"")</f>
        <v>1</v>
      </c>
      <c r="F57" s="97">
        <f ca="1">IFERROR(IF(OFFSET('Data Entry'!$A$4,0,-1+MATCH(IF(LEFT($A57,1)=" ",RIGHT($A57,LEN($A57)-1),$A57),Trackerdata[#Headers],))&lt;&gt;0,OFFSET('Data Entry'!$A$4,0,-1+MATCH(IF(LEFT($A57,1)=" ",RIGHT($A57,LEN($A57)-1),$A57),Trackerdata[#Headers],)),""),"")</f>
        <v>41299</v>
      </c>
    </row>
    <row r="58" spans="1:6" x14ac:dyDescent="0.25">
      <c r="A58" s="74" t="s">
        <v>103</v>
      </c>
      <c r="D58" s="86">
        <f ca="1">IFERROR(IF(OFFSET('Data Entry'!$A$2,0,-1+MATCH(IF(LEFT($A58,1)=" ",RIGHT($A58,LEN($A58)-1),$A58),Trackerdata[#Headers],))&lt;&gt;0,OFFSET('Data Entry'!$A$2,0,-1+MATCH(IF(LEFT($A58,1)=" ",RIGHT($A58,LEN($A58)-1),$A58),Trackerdata[#Headers],)),""),"")</f>
        <v>5</v>
      </c>
      <c r="E58" s="89">
        <f ca="1">IFERROR(IF(OFFSET('Data Entry'!$A$3,0,-1+MATCH(IF(LEFT($A58,1)=" ",RIGHT($A58,LEN($A58)-1),$A58),Trackerdata[#Headers],))&lt;&gt;0,OFFSET('Data Entry'!$A$3,0,-1+MATCH(IF(LEFT($A58,1)=" ",RIGHT($A58,LEN($A58)-1),$A58),Trackerdata[#Headers],)),""),"")</f>
        <v>1</v>
      </c>
      <c r="F58" s="97">
        <f ca="1">IFERROR(IF(OFFSET('Data Entry'!$A$4,0,-1+MATCH(IF(LEFT($A58,1)=" ",RIGHT($A58,LEN($A58)-1),$A58),Trackerdata[#Headers],))&lt;&gt;0,OFFSET('Data Entry'!$A$4,0,-1+MATCH(IF(LEFT($A58,1)=" ",RIGHT($A58,LEN($A58)-1),$A58),Trackerdata[#Headers],)),""),"")</f>
        <v>41301</v>
      </c>
    </row>
    <row r="59" spans="1:6" x14ac:dyDescent="0.25">
      <c r="A59" s="74" t="s">
        <v>485</v>
      </c>
      <c r="B59" s="88">
        <v>0</v>
      </c>
      <c r="D59" s="86">
        <f ca="1">IFERROR(IF(OFFSET('Data Entry'!$A$2,0,-1+MATCH(IF(LEFT($A59,1)=" ",RIGHT($A59,LEN($A59)-1),$A59),Trackerdata[#Headers],))&lt;&gt;0,OFFSET('Data Entry'!$A$2,0,-1+MATCH(IF(LEFT($A59,1)=" ",RIGHT($A59,LEN($A59)-1),$A59),Trackerdata[#Headers],)),""),"")</f>
        <v>100</v>
      </c>
      <c r="E59" s="89" t="str">
        <f ca="1">IFERROR(IF(OFFSET('Data Entry'!$A$3,0,-1+MATCH(IF(LEFT($A59,1)=" ",RIGHT($A59,LEN($A59)-1),$A59),Trackerdata[#Headers],))&lt;&gt;0,OFFSET('Data Entry'!$A$3,0,-1+MATCH(IF(LEFT($A59,1)=" ",RIGHT($A59,LEN($A59)-1),$A59),Trackerdata[#Headers],)),""),"")</f>
        <v/>
      </c>
      <c r="F59" s="97" t="str">
        <f ca="1">IFERROR(IF(OFFSET('Data Entry'!$A$4,0,-1+MATCH(IF(LEFT($A59,1)=" ",RIGHT($A59,LEN($A59)-1),$A59),Trackerdata[#Headers],))&lt;&gt;0,OFFSET('Data Entry'!$A$4,0,-1+MATCH(IF(LEFT($A59,1)=" ",RIGHT($A59,LEN($A59)-1),$A59),Trackerdata[#Headers],)),""),"")</f>
        <v/>
      </c>
    </row>
    <row r="60" spans="1:6" x14ac:dyDescent="0.25">
      <c r="A60" s="73" t="s">
        <v>58</v>
      </c>
      <c r="D60" s="86" t="str">
        <f ca="1">IFERROR(IF(OFFSET('Data Entry'!$A$2,0,-1+MATCH(IF(LEFT($A60,1)=" ",RIGHT($A60,LEN($A60)-1),$A60),Trackerdata[#Headers],))&lt;&gt;0,OFFSET('Data Entry'!$A$2,0,-1+MATCH(IF(LEFT($A60,1)=" ",RIGHT($A60,LEN($A60)-1),$A60),Trackerdata[#Headers],)),""),"")</f>
        <v/>
      </c>
      <c r="E60" s="89" t="str">
        <f ca="1">IFERROR(IF(OFFSET('Data Entry'!$A$3,0,-1+MATCH(IF(LEFT($A60,1)=" ",RIGHT($A60,LEN($A60)-1),$A60),Trackerdata[#Headers],))&lt;&gt;0,OFFSET('Data Entry'!$A$3,0,-1+MATCH(IF(LEFT($A60,1)=" ",RIGHT($A60,LEN($A60)-1),$A60),Trackerdata[#Headers],)),""),"")</f>
        <v/>
      </c>
      <c r="F60" s="97" t="str">
        <f ca="1">IFERROR(IF(OFFSET('Data Entry'!$A$4,0,-1+MATCH(IF(LEFT($A60,1)=" ",RIGHT($A60,LEN($A60)-1),$A60),Trackerdata[#Headers],))&lt;&gt;0,OFFSET('Data Entry'!$A$4,0,-1+MATCH(IF(LEFT($A60,1)=" ",RIGHT($A60,LEN($A60)-1),$A60),Trackerdata[#Headers],)),""),"")</f>
        <v/>
      </c>
    </row>
    <row r="61" spans="1:6" x14ac:dyDescent="0.25">
      <c r="A61" s="74" t="s">
        <v>91</v>
      </c>
      <c r="D61" s="86">
        <f ca="1">IFERROR(IF(OFFSET('Data Entry'!$A$2,0,-1+MATCH(IF(LEFT($A61,1)=" ",RIGHT($A61,LEN($A61)-1),$A61),Trackerdata[#Headers],))&lt;&gt;0,OFFSET('Data Entry'!$A$2,0,-1+MATCH(IF(LEFT($A61,1)=" ",RIGHT($A61,LEN($A61)-1),$A61),Trackerdata[#Headers],)),""),"")</f>
        <v>10</v>
      </c>
      <c r="E61" s="89">
        <f ca="1">IFERROR(IF(OFFSET('Data Entry'!$A$3,0,-1+MATCH(IF(LEFT($A61,1)=" ",RIGHT($A61,LEN($A61)-1),$A61),Trackerdata[#Headers],))&lt;&gt;0,OFFSET('Data Entry'!$A$3,0,-1+MATCH(IF(LEFT($A61,1)=" ",RIGHT($A61,LEN($A61)-1),$A61),Trackerdata[#Headers],)),""),"")</f>
        <v>1</v>
      </c>
      <c r="F61" s="97">
        <f ca="1">IFERROR(IF(OFFSET('Data Entry'!$A$4,0,-1+MATCH(IF(LEFT($A61,1)=" ",RIGHT($A61,LEN($A61)-1),$A61),Trackerdata[#Headers],))&lt;&gt;0,OFFSET('Data Entry'!$A$4,0,-1+MATCH(IF(LEFT($A61,1)=" ",RIGHT($A61,LEN($A61)-1),$A61),Trackerdata[#Headers],)),""),"")</f>
        <v>41294</v>
      </c>
    </row>
    <row r="62" spans="1:6" x14ac:dyDescent="0.25">
      <c r="A62" s="74" t="s">
        <v>92</v>
      </c>
      <c r="D62" s="86">
        <f ca="1">IFERROR(IF(OFFSET('Data Entry'!$A$2,0,-1+MATCH(IF(LEFT($A62,1)=" ",RIGHT($A62,LEN($A62)-1),$A62),Trackerdata[#Headers],))&lt;&gt;0,OFFSET('Data Entry'!$A$2,0,-1+MATCH(IF(LEFT($A62,1)=" ",RIGHT($A62,LEN($A62)-1),$A62),Trackerdata[#Headers],)),""),"")</f>
        <v>15</v>
      </c>
      <c r="E62" s="89">
        <f ca="1">IFERROR(IF(OFFSET('Data Entry'!$A$3,0,-1+MATCH(IF(LEFT($A62,1)=" ",RIGHT($A62,LEN($A62)-1),$A62),Trackerdata[#Headers],))&lt;&gt;0,OFFSET('Data Entry'!$A$3,0,-1+MATCH(IF(LEFT($A62,1)=" ",RIGHT($A62,LEN($A62)-1),$A62),Trackerdata[#Headers],)),""),"")</f>
        <v>1</v>
      </c>
      <c r="F62" s="97">
        <f ca="1">IFERROR(IF(OFFSET('Data Entry'!$A$4,0,-1+MATCH(IF(LEFT($A62,1)=" ",RIGHT($A62,LEN($A62)-1),$A62),Trackerdata[#Headers],))&lt;&gt;0,OFFSET('Data Entry'!$A$4,0,-1+MATCH(IF(LEFT($A62,1)=" ",RIGHT($A62,LEN($A62)-1),$A62),Trackerdata[#Headers],)),""),"")</f>
        <v>41299</v>
      </c>
    </row>
    <row r="63" spans="1:6" x14ac:dyDescent="0.25">
      <c r="A63" s="74" t="s">
        <v>103</v>
      </c>
      <c r="D63" s="86">
        <f ca="1">IFERROR(IF(OFFSET('Data Entry'!$A$2,0,-1+MATCH(IF(LEFT($A63,1)=" ",RIGHT($A63,LEN($A63)-1),$A63),Trackerdata[#Headers],))&lt;&gt;0,OFFSET('Data Entry'!$A$2,0,-1+MATCH(IF(LEFT($A63,1)=" ",RIGHT($A63,LEN($A63)-1),$A63),Trackerdata[#Headers],)),""),"")</f>
        <v>5</v>
      </c>
      <c r="E63" s="89">
        <f ca="1">IFERROR(IF(OFFSET('Data Entry'!$A$3,0,-1+MATCH(IF(LEFT($A63,1)=" ",RIGHT($A63,LEN($A63)-1),$A63),Trackerdata[#Headers],))&lt;&gt;0,OFFSET('Data Entry'!$A$3,0,-1+MATCH(IF(LEFT($A63,1)=" ",RIGHT($A63,LEN($A63)-1),$A63),Trackerdata[#Headers],)),""),"")</f>
        <v>1</v>
      </c>
      <c r="F63" s="97">
        <f ca="1">IFERROR(IF(OFFSET('Data Entry'!$A$4,0,-1+MATCH(IF(LEFT($A63,1)=" ",RIGHT($A63,LEN($A63)-1),$A63),Trackerdata[#Headers],))&lt;&gt;0,OFFSET('Data Entry'!$A$4,0,-1+MATCH(IF(LEFT($A63,1)=" ",RIGHT($A63,LEN($A63)-1),$A63),Trackerdata[#Headers],)),""),"")</f>
        <v>41301</v>
      </c>
    </row>
    <row r="64" spans="1:6" x14ac:dyDescent="0.25">
      <c r="A64" s="74" t="s">
        <v>485</v>
      </c>
      <c r="B64" s="88">
        <v>0</v>
      </c>
      <c r="D64" s="86">
        <f ca="1">IFERROR(IF(OFFSET('Data Entry'!$A$2,0,-1+MATCH(IF(LEFT($A64,1)=" ",RIGHT($A64,LEN($A64)-1),$A64),Trackerdata[#Headers],))&lt;&gt;0,OFFSET('Data Entry'!$A$2,0,-1+MATCH(IF(LEFT($A64,1)=" ",RIGHT($A64,LEN($A64)-1),$A64),Trackerdata[#Headers],)),""),"")</f>
        <v>100</v>
      </c>
      <c r="E64" s="89" t="str">
        <f ca="1">IFERROR(IF(OFFSET('Data Entry'!$A$3,0,-1+MATCH(IF(LEFT($A64,1)=" ",RIGHT($A64,LEN($A64)-1),$A64),Trackerdata[#Headers],))&lt;&gt;0,OFFSET('Data Entry'!$A$3,0,-1+MATCH(IF(LEFT($A64,1)=" ",RIGHT($A64,LEN($A64)-1),$A64),Trackerdata[#Headers],)),""),"")</f>
        <v/>
      </c>
      <c r="F64" s="97" t="str">
        <f ca="1">IFERROR(IF(OFFSET('Data Entry'!$A$4,0,-1+MATCH(IF(LEFT($A64,1)=" ",RIGHT($A64,LEN($A64)-1),$A64),Trackerdata[#Headers],))&lt;&gt;0,OFFSET('Data Entry'!$A$4,0,-1+MATCH(IF(LEFT($A64,1)=" ",RIGHT($A64,LEN($A64)-1),$A64),Trackerdata[#Headers],)),""),"")</f>
        <v/>
      </c>
    </row>
  </sheetData>
  <mergeCells count="1">
    <mergeCell ref="A8:E8"/>
  </mergeCell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80000"/>
  </sheetPr>
  <dimension ref="A1:ND11"/>
  <sheetViews>
    <sheetView zoomScale="85" zoomScaleNormal="85" workbookViewId="0">
      <pane xSplit="3" ySplit="1" topLeftCell="D2" activePane="bottomRight" state="frozen"/>
      <selection activeCell="I22" sqref="I22"/>
      <selection pane="topRight" activeCell="I22" sqref="I22"/>
      <selection pane="bottomLeft" activeCell="I22" sqref="I22"/>
      <selection pane="bottomRight" activeCell="D3" sqref="D3"/>
    </sheetView>
  </sheetViews>
  <sheetFormatPr defaultColWidth="4.140625" defaultRowHeight="14.25" x14ac:dyDescent="0.2"/>
  <cols>
    <col min="1" max="1" width="20.28515625" style="51" customWidth="1"/>
    <col min="2" max="3" width="5.7109375" style="51" customWidth="1"/>
    <col min="4" max="303" width="4.140625" style="51"/>
    <col min="304" max="304" width="4.140625" style="51" customWidth="1"/>
    <col min="305" max="16384" width="4.140625" style="51"/>
  </cols>
  <sheetData>
    <row r="1" spans="1:368" s="101" customFormat="1" ht="60" customHeight="1" x14ac:dyDescent="0.2">
      <c r="A1" s="108" t="s">
        <v>470</v>
      </c>
      <c r="B1" s="98" t="s">
        <v>12</v>
      </c>
      <c r="C1" s="98" t="s">
        <v>486</v>
      </c>
      <c r="D1" s="99" t="s">
        <v>469</v>
      </c>
      <c r="E1" s="100" t="s">
        <v>468</v>
      </c>
      <c r="F1" s="100" t="s">
        <v>467</v>
      </c>
      <c r="G1" s="100" t="s">
        <v>466</v>
      </c>
      <c r="H1" s="100" t="s">
        <v>465</v>
      </c>
      <c r="I1" s="100" t="s">
        <v>464</v>
      </c>
      <c r="J1" s="100" t="s">
        <v>463</v>
      </c>
      <c r="K1" s="100" t="s">
        <v>462</v>
      </c>
      <c r="L1" s="100" t="s">
        <v>461</v>
      </c>
      <c r="M1" s="100" t="s">
        <v>460</v>
      </c>
      <c r="N1" s="100" t="s">
        <v>459</v>
      </c>
      <c r="O1" s="100" t="s">
        <v>458</v>
      </c>
      <c r="P1" s="100" t="s">
        <v>457</v>
      </c>
      <c r="Q1" s="100" t="s">
        <v>456</v>
      </c>
      <c r="R1" s="100" t="s">
        <v>455</v>
      </c>
      <c r="S1" s="100" t="s">
        <v>454</v>
      </c>
      <c r="T1" s="100" t="s">
        <v>453</v>
      </c>
      <c r="U1" s="100" t="s">
        <v>452</v>
      </c>
      <c r="V1" s="100" t="s">
        <v>451</v>
      </c>
      <c r="W1" s="100" t="s">
        <v>450</v>
      </c>
      <c r="X1" s="100" t="s">
        <v>449</v>
      </c>
      <c r="Y1" s="100" t="s">
        <v>448</v>
      </c>
      <c r="Z1" s="100" t="s">
        <v>447</v>
      </c>
      <c r="AA1" s="100" t="s">
        <v>446</v>
      </c>
      <c r="AB1" s="100" t="s">
        <v>445</v>
      </c>
      <c r="AC1" s="100" t="s">
        <v>444</v>
      </c>
      <c r="AD1" s="100" t="s">
        <v>443</v>
      </c>
      <c r="AE1" s="100" t="s">
        <v>442</v>
      </c>
      <c r="AF1" s="100" t="s">
        <v>441</v>
      </c>
      <c r="AG1" s="100" t="s">
        <v>440</v>
      </c>
      <c r="AH1" s="100" t="s">
        <v>439</v>
      </c>
      <c r="AI1" s="100" t="s">
        <v>438</v>
      </c>
      <c r="AJ1" s="100" t="s">
        <v>437</v>
      </c>
      <c r="AK1" s="100" t="s">
        <v>436</v>
      </c>
      <c r="AL1" s="100" t="s">
        <v>435</v>
      </c>
      <c r="AM1" s="100" t="s">
        <v>434</v>
      </c>
      <c r="AN1" s="100" t="s">
        <v>433</v>
      </c>
      <c r="AO1" s="100" t="s">
        <v>432</v>
      </c>
      <c r="AP1" s="100" t="s">
        <v>431</v>
      </c>
      <c r="AQ1" s="100" t="s">
        <v>430</v>
      </c>
      <c r="AR1" s="100" t="s">
        <v>429</v>
      </c>
      <c r="AS1" s="100" t="s">
        <v>428</v>
      </c>
      <c r="AT1" s="100" t="s">
        <v>427</v>
      </c>
      <c r="AU1" s="100" t="s">
        <v>426</v>
      </c>
      <c r="AV1" s="100" t="s">
        <v>425</v>
      </c>
      <c r="AW1" s="100" t="s">
        <v>424</v>
      </c>
      <c r="AX1" s="100" t="s">
        <v>423</v>
      </c>
      <c r="AY1" s="100" t="s">
        <v>422</v>
      </c>
      <c r="AZ1" s="100" t="s">
        <v>421</v>
      </c>
      <c r="BA1" s="100" t="s">
        <v>420</v>
      </c>
      <c r="BB1" s="100" t="s">
        <v>419</v>
      </c>
      <c r="BC1" s="100" t="s">
        <v>418</v>
      </c>
      <c r="BD1" s="100" t="s">
        <v>417</v>
      </c>
      <c r="BE1" s="100" t="s">
        <v>416</v>
      </c>
      <c r="BF1" s="100" t="s">
        <v>415</v>
      </c>
      <c r="BG1" s="100" t="s">
        <v>414</v>
      </c>
      <c r="BH1" s="100" t="s">
        <v>413</v>
      </c>
      <c r="BI1" s="100" t="s">
        <v>412</v>
      </c>
      <c r="BJ1" s="100" t="s">
        <v>411</v>
      </c>
      <c r="BK1" s="100" t="s">
        <v>410</v>
      </c>
      <c r="BL1" s="100" t="s">
        <v>409</v>
      </c>
      <c r="BM1" s="100" t="s">
        <v>408</v>
      </c>
      <c r="BN1" s="100" t="s">
        <v>407</v>
      </c>
      <c r="BO1" s="100" t="s">
        <v>406</v>
      </c>
      <c r="BP1" s="100" t="s">
        <v>405</v>
      </c>
      <c r="BQ1" s="100" t="s">
        <v>404</v>
      </c>
      <c r="BR1" s="100" t="s">
        <v>403</v>
      </c>
      <c r="BS1" s="100" t="s">
        <v>402</v>
      </c>
      <c r="BT1" s="100" t="s">
        <v>401</v>
      </c>
      <c r="BU1" s="100" t="s">
        <v>400</v>
      </c>
      <c r="BV1" s="100" t="s">
        <v>399</v>
      </c>
      <c r="BW1" s="100" t="s">
        <v>398</v>
      </c>
      <c r="BX1" s="100" t="s">
        <v>397</v>
      </c>
      <c r="BY1" s="100" t="s">
        <v>396</v>
      </c>
      <c r="BZ1" s="100" t="s">
        <v>395</v>
      </c>
      <c r="CA1" s="100" t="s">
        <v>394</v>
      </c>
      <c r="CB1" s="100" t="s">
        <v>393</v>
      </c>
      <c r="CC1" s="100" t="s">
        <v>392</v>
      </c>
      <c r="CD1" s="100" t="s">
        <v>391</v>
      </c>
      <c r="CE1" s="100" t="s">
        <v>390</v>
      </c>
      <c r="CF1" s="100" t="s">
        <v>389</v>
      </c>
      <c r="CG1" s="100" t="s">
        <v>388</v>
      </c>
      <c r="CH1" s="100" t="s">
        <v>387</v>
      </c>
      <c r="CI1" s="100" t="s">
        <v>386</v>
      </c>
      <c r="CJ1" s="100" t="s">
        <v>385</v>
      </c>
      <c r="CK1" s="100" t="s">
        <v>384</v>
      </c>
      <c r="CL1" s="100" t="s">
        <v>383</v>
      </c>
      <c r="CM1" s="100" t="s">
        <v>382</v>
      </c>
      <c r="CN1" s="100" t="s">
        <v>381</v>
      </c>
      <c r="CO1" s="100" t="s">
        <v>380</v>
      </c>
      <c r="CP1" s="100" t="s">
        <v>379</v>
      </c>
      <c r="CQ1" s="100" t="s">
        <v>378</v>
      </c>
      <c r="CR1" s="100" t="s">
        <v>377</v>
      </c>
      <c r="CS1" s="100" t="s">
        <v>376</v>
      </c>
      <c r="CT1" s="100" t="s">
        <v>375</v>
      </c>
      <c r="CU1" s="100" t="s">
        <v>374</v>
      </c>
      <c r="CV1" s="100" t="s">
        <v>373</v>
      </c>
      <c r="CW1" s="100" t="s">
        <v>372</v>
      </c>
      <c r="CX1" s="100" t="s">
        <v>371</v>
      </c>
      <c r="CY1" s="100" t="s">
        <v>370</v>
      </c>
      <c r="CZ1" s="100" t="s">
        <v>369</v>
      </c>
      <c r="DA1" s="100" t="s">
        <v>368</v>
      </c>
      <c r="DB1" s="100" t="s">
        <v>367</v>
      </c>
      <c r="DC1" s="100" t="s">
        <v>366</v>
      </c>
      <c r="DD1" s="100" t="s">
        <v>365</v>
      </c>
      <c r="DE1" s="100" t="s">
        <v>364</v>
      </c>
      <c r="DF1" s="100" t="s">
        <v>363</v>
      </c>
      <c r="DG1" s="100" t="s">
        <v>362</v>
      </c>
      <c r="DH1" s="100" t="s">
        <v>361</v>
      </c>
      <c r="DI1" s="100" t="s">
        <v>360</v>
      </c>
      <c r="DJ1" s="100" t="s">
        <v>359</v>
      </c>
      <c r="DK1" s="100" t="s">
        <v>358</v>
      </c>
      <c r="DL1" s="100" t="s">
        <v>357</v>
      </c>
      <c r="DM1" s="100" t="s">
        <v>356</v>
      </c>
      <c r="DN1" s="100" t="s">
        <v>355</v>
      </c>
      <c r="DO1" s="100" t="s">
        <v>354</v>
      </c>
      <c r="DP1" s="100" t="s">
        <v>353</v>
      </c>
      <c r="DQ1" s="100" t="s">
        <v>352</v>
      </c>
      <c r="DR1" s="100" t="s">
        <v>351</v>
      </c>
      <c r="DS1" s="100" t="s">
        <v>350</v>
      </c>
      <c r="DT1" s="100" t="s">
        <v>349</v>
      </c>
      <c r="DU1" s="100" t="s">
        <v>348</v>
      </c>
      <c r="DV1" s="100" t="s">
        <v>347</v>
      </c>
      <c r="DW1" s="100" t="s">
        <v>346</v>
      </c>
      <c r="DX1" s="100" t="s">
        <v>345</v>
      </c>
      <c r="DY1" s="100" t="s">
        <v>344</v>
      </c>
      <c r="DZ1" s="100" t="s">
        <v>343</v>
      </c>
      <c r="EA1" s="100" t="s">
        <v>342</v>
      </c>
      <c r="EB1" s="100" t="s">
        <v>341</v>
      </c>
      <c r="EC1" s="100" t="s">
        <v>340</v>
      </c>
      <c r="ED1" s="100" t="s">
        <v>339</v>
      </c>
      <c r="EE1" s="100" t="s">
        <v>338</v>
      </c>
      <c r="EF1" s="100" t="s">
        <v>337</v>
      </c>
      <c r="EG1" s="100" t="s">
        <v>336</v>
      </c>
      <c r="EH1" s="100" t="s">
        <v>335</v>
      </c>
      <c r="EI1" s="100" t="s">
        <v>334</v>
      </c>
      <c r="EJ1" s="100" t="s">
        <v>333</v>
      </c>
      <c r="EK1" s="100" t="s">
        <v>332</v>
      </c>
      <c r="EL1" s="100" t="s">
        <v>331</v>
      </c>
      <c r="EM1" s="100" t="s">
        <v>330</v>
      </c>
      <c r="EN1" s="100" t="s">
        <v>329</v>
      </c>
      <c r="EO1" s="100" t="s">
        <v>328</v>
      </c>
      <c r="EP1" s="100" t="s">
        <v>327</v>
      </c>
      <c r="EQ1" s="100" t="s">
        <v>326</v>
      </c>
      <c r="ER1" s="100" t="s">
        <v>325</v>
      </c>
      <c r="ES1" s="100" t="s">
        <v>324</v>
      </c>
      <c r="ET1" s="100" t="s">
        <v>323</v>
      </c>
      <c r="EU1" s="100" t="s">
        <v>322</v>
      </c>
      <c r="EV1" s="100" t="s">
        <v>321</v>
      </c>
      <c r="EW1" s="100" t="s">
        <v>320</v>
      </c>
      <c r="EX1" s="100" t="s">
        <v>319</v>
      </c>
      <c r="EY1" s="100" t="s">
        <v>318</v>
      </c>
      <c r="EZ1" s="100" t="s">
        <v>317</v>
      </c>
      <c r="FA1" s="100" t="s">
        <v>316</v>
      </c>
      <c r="FB1" s="100" t="s">
        <v>315</v>
      </c>
      <c r="FC1" s="100" t="s">
        <v>314</v>
      </c>
      <c r="FD1" s="100" t="s">
        <v>313</v>
      </c>
      <c r="FE1" s="100" t="s">
        <v>312</v>
      </c>
      <c r="FF1" s="100" t="s">
        <v>311</v>
      </c>
      <c r="FG1" s="100" t="s">
        <v>310</v>
      </c>
      <c r="FH1" s="100" t="s">
        <v>309</v>
      </c>
      <c r="FI1" s="100" t="s">
        <v>308</v>
      </c>
      <c r="FJ1" s="100" t="s">
        <v>307</v>
      </c>
      <c r="FK1" s="100" t="s">
        <v>306</v>
      </c>
      <c r="FL1" s="100" t="s">
        <v>305</v>
      </c>
      <c r="FM1" s="100" t="s">
        <v>304</v>
      </c>
      <c r="FN1" s="100" t="s">
        <v>303</v>
      </c>
      <c r="FO1" s="100" t="s">
        <v>302</v>
      </c>
      <c r="FP1" s="100" t="s">
        <v>301</v>
      </c>
      <c r="FQ1" s="100" t="s">
        <v>300</v>
      </c>
      <c r="FR1" s="100" t="s">
        <v>299</v>
      </c>
      <c r="FS1" s="100" t="s">
        <v>298</v>
      </c>
      <c r="FT1" s="100" t="s">
        <v>297</v>
      </c>
      <c r="FU1" s="100" t="s">
        <v>296</v>
      </c>
      <c r="FV1" s="100" t="s">
        <v>295</v>
      </c>
      <c r="FW1" s="100" t="s">
        <v>294</v>
      </c>
      <c r="FX1" s="100" t="s">
        <v>293</v>
      </c>
      <c r="FY1" s="100" t="s">
        <v>292</v>
      </c>
      <c r="FZ1" s="100" t="s">
        <v>291</v>
      </c>
      <c r="GA1" s="100" t="s">
        <v>290</v>
      </c>
      <c r="GB1" s="100" t="s">
        <v>289</v>
      </c>
      <c r="GC1" s="100" t="s">
        <v>288</v>
      </c>
      <c r="GD1" s="100" t="s">
        <v>287</v>
      </c>
      <c r="GE1" s="100" t="s">
        <v>286</v>
      </c>
      <c r="GF1" s="100" t="s">
        <v>285</v>
      </c>
      <c r="GG1" s="100" t="s">
        <v>284</v>
      </c>
      <c r="GH1" s="100" t="s">
        <v>283</v>
      </c>
      <c r="GI1" s="100" t="s">
        <v>282</v>
      </c>
      <c r="GJ1" s="100" t="s">
        <v>281</v>
      </c>
      <c r="GK1" s="100" t="s">
        <v>280</v>
      </c>
      <c r="GL1" s="100" t="s">
        <v>279</v>
      </c>
      <c r="GM1" s="100" t="s">
        <v>278</v>
      </c>
      <c r="GN1" s="100" t="s">
        <v>277</v>
      </c>
      <c r="GO1" s="100" t="s">
        <v>276</v>
      </c>
      <c r="GP1" s="100" t="s">
        <v>275</v>
      </c>
      <c r="GQ1" s="100" t="s">
        <v>274</v>
      </c>
      <c r="GR1" s="100" t="s">
        <v>273</v>
      </c>
      <c r="GS1" s="100" t="s">
        <v>272</v>
      </c>
      <c r="GT1" s="100" t="s">
        <v>271</v>
      </c>
      <c r="GU1" s="100" t="s">
        <v>270</v>
      </c>
      <c r="GV1" s="100" t="s">
        <v>269</v>
      </c>
      <c r="GW1" s="100" t="s">
        <v>268</v>
      </c>
      <c r="GX1" s="100" t="s">
        <v>267</v>
      </c>
      <c r="GY1" s="100" t="s">
        <v>266</v>
      </c>
      <c r="GZ1" s="100" t="s">
        <v>265</v>
      </c>
      <c r="HA1" s="100" t="s">
        <v>264</v>
      </c>
      <c r="HB1" s="100" t="s">
        <v>263</v>
      </c>
      <c r="HC1" s="100" t="s">
        <v>262</v>
      </c>
      <c r="HD1" s="100" t="s">
        <v>261</v>
      </c>
      <c r="HE1" s="100" t="s">
        <v>260</v>
      </c>
      <c r="HF1" s="100" t="s">
        <v>259</v>
      </c>
      <c r="HG1" s="100" t="s">
        <v>258</v>
      </c>
      <c r="HH1" s="100" t="s">
        <v>257</v>
      </c>
      <c r="HI1" s="100" t="s">
        <v>256</v>
      </c>
      <c r="HJ1" s="100" t="s">
        <v>255</v>
      </c>
      <c r="HK1" s="100" t="s">
        <v>254</v>
      </c>
      <c r="HL1" s="100" t="s">
        <v>253</v>
      </c>
      <c r="HM1" s="100" t="s">
        <v>252</v>
      </c>
      <c r="HN1" s="100" t="s">
        <v>251</v>
      </c>
      <c r="HO1" s="100" t="s">
        <v>250</v>
      </c>
      <c r="HP1" s="100" t="s">
        <v>249</v>
      </c>
      <c r="HQ1" s="100" t="s">
        <v>248</v>
      </c>
      <c r="HR1" s="100" t="s">
        <v>247</v>
      </c>
      <c r="HS1" s="100" t="s">
        <v>246</v>
      </c>
      <c r="HT1" s="100" t="s">
        <v>245</v>
      </c>
      <c r="HU1" s="100" t="s">
        <v>244</v>
      </c>
      <c r="HV1" s="100" t="s">
        <v>243</v>
      </c>
      <c r="HW1" s="100" t="s">
        <v>242</v>
      </c>
      <c r="HX1" s="100" t="s">
        <v>241</v>
      </c>
      <c r="HY1" s="100" t="s">
        <v>240</v>
      </c>
      <c r="HZ1" s="100" t="s">
        <v>239</v>
      </c>
      <c r="IA1" s="100" t="s">
        <v>238</v>
      </c>
      <c r="IB1" s="100" t="s">
        <v>237</v>
      </c>
      <c r="IC1" s="100" t="s">
        <v>236</v>
      </c>
      <c r="ID1" s="100" t="s">
        <v>235</v>
      </c>
      <c r="IE1" s="100" t="s">
        <v>234</v>
      </c>
      <c r="IF1" s="100" t="s">
        <v>233</v>
      </c>
      <c r="IG1" s="100" t="s">
        <v>232</v>
      </c>
      <c r="IH1" s="100" t="s">
        <v>231</v>
      </c>
      <c r="II1" s="100" t="s">
        <v>230</v>
      </c>
      <c r="IJ1" s="100" t="s">
        <v>229</v>
      </c>
      <c r="IK1" s="100" t="s">
        <v>228</v>
      </c>
      <c r="IL1" s="100" t="s">
        <v>227</v>
      </c>
      <c r="IM1" s="100" t="s">
        <v>226</v>
      </c>
      <c r="IN1" s="100" t="s">
        <v>225</v>
      </c>
      <c r="IO1" s="100" t="s">
        <v>224</v>
      </c>
      <c r="IP1" s="100" t="s">
        <v>223</v>
      </c>
      <c r="IQ1" s="100" t="s">
        <v>222</v>
      </c>
      <c r="IR1" s="100" t="s">
        <v>221</v>
      </c>
      <c r="IS1" s="100" t="s">
        <v>220</v>
      </c>
      <c r="IT1" s="100" t="s">
        <v>219</v>
      </c>
      <c r="IU1" s="100" t="s">
        <v>218</v>
      </c>
      <c r="IV1" s="100" t="s">
        <v>217</v>
      </c>
      <c r="IW1" s="100" t="s">
        <v>216</v>
      </c>
      <c r="IX1" s="100" t="s">
        <v>215</v>
      </c>
      <c r="IY1" s="100" t="s">
        <v>214</v>
      </c>
      <c r="IZ1" s="100" t="s">
        <v>213</v>
      </c>
      <c r="JA1" s="100" t="s">
        <v>212</v>
      </c>
      <c r="JB1" s="100" t="s">
        <v>211</v>
      </c>
      <c r="JC1" s="100" t="s">
        <v>210</v>
      </c>
      <c r="JD1" s="100" t="s">
        <v>209</v>
      </c>
      <c r="JE1" s="100" t="s">
        <v>208</v>
      </c>
      <c r="JF1" s="100" t="s">
        <v>207</v>
      </c>
      <c r="JG1" s="100" t="s">
        <v>206</v>
      </c>
      <c r="JH1" s="100" t="s">
        <v>205</v>
      </c>
      <c r="JI1" s="100" t="s">
        <v>204</v>
      </c>
      <c r="JJ1" s="100" t="s">
        <v>203</v>
      </c>
      <c r="JK1" s="100" t="s">
        <v>202</v>
      </c>
      <c r="JL1" s="100" t="s">
        <v>201</v>
      </c>
      <c r="JM1" s="100" t="s">
        <v>200</v>
      </c>
      <c r="JN1" s="100" t="s">
        <v>199</v>
      </c>
      <c r="JO1" s="100" t="s">
        <v>198</v>
      </c>
      <c r="JP1" s="100" t="s">
        <v>197</v>
      </c>
      <c r="JQ1" s="100" t="s">
        <v>196</v>
      </c>
      <c r="JR1" s="100" t="s">
        <v>195</v>
      </c>
      <c r="JS1" s="100" t="s">
        <v>194</v>
      </c>
      <c r="JT1" s="100" t="s">
        <v>193</v>
      </c>
      <c r="JU1" s="100" t="s">
        <v>192</v>
      </c>
      <c r="JV1" s="100" t="s">
        <v>191</v>
      </c>
      <c r="JW1" s="100" t="s">
        <v>190</v>
      </c>
      <c r="JX1" s="100" t="s">
        <v>189</v>
      </c>
      <c r="JY1" s="100" t="s">
        <v>188</v>
      </c>
      <c r="JZ1" s="100" t="s">
        <v>187</v>
      </c>
      <c r="KA1" s="100" t="s">
        <v>186</v>
      </c>
      <c r="KB1" s="100" t="s">
        <v>185</v>
      </c>
      <c r="KC1" s="100" t="s">
        <v>184</v>
      </c>
      <c r="KD1" s="100" t="s">
        <v>183</v>
      </c>
      <c r="KE1" s="100" t="s">
        <v>182</v>
      </c>
      <c r="KF1" s="100" t="s">
        <v>181</v>
      </c>
      <c r="KG1" s="100" t="s">
        <v>180</v>
      </c>
      <c r="KH1" s="100" t="s">
        <v>179</v>
      </c>
      <c r="KI1" s="100" t="s">
        <v>178</v>
      </c>
      <c r="KJ1" s="100" t="s">
        <v>177</v>
      </c>
      <c r="KK1" s="100" t="s">
        <v>176</v>
      </c>
      <c r="KL1" s="100" t="s">
        <v>175</v>
      </c>
      <c r="KM1" s="100" t="s">
        <v>174</v>
      </c>
      <c r="KN1" s="100" t="s">
        <v>173</v>
      </c>
      <c r="KO1" s="100" t="s">
        <v>172</v>
      </c>
      <c r="KP1" s="100" t="s">
        <v>171</v>
      </c>
      <c r="KQ1" s="100" t="s">
        <v>170</v>
      </c>
      <c r="KR1" s="100" t="s">
        <v>169</v>
      </c>
      <c r="KS1" s="100" t="s">
        <v>168</v>
      </c>
      <c r="KT1" s="100" t="s">
        <v>167</v>
      </c>
      <c r="KU1" s="100" t="s">
        <v>166</v>
      </c>
      <c r="KV1" s="100" t="s">
        <v>165</v>
      </c>
      <c r="KW1" s="100" t="s">
        <v>164</v>
      </c>
      <c r="KX1" s="100" t="s">
        <v>163</v>
      </c>
      <c r="KY1" s="100" t="s">
        <v>162</v>
      </c>
      <c r="KZ1" s="100" t="s">
        <v>161</v>
      </c>
      <c r="LA1" s="100" t="s">
        <v>160</v>
      </c>
      <c r="LB1" s="100" t="s">
        <v>159</v>
      </c>
      <c r="LC1" s="100" t="s">
        <v>158</v>
      </c>
      <c r="LD1" s="100" t="s">
        <v>157</v>
      </c>
      <c r="LE1" s="100" t="s">
        <v>156</v>
      </c>
      <c r="LF1" s="100" t="s">
        <v>155</v>
      </c>
      <c r="LG1" s="100" t="s">
        <v>154</v>
      </c>
      <c r="LH1" s="100" t="s">
        <v>153</v>
      </c>
      <c r="LI1" s="100" t="s">
        <v>152</v>
      </c>
      <c r="LJ1" s="100" t="s">
        <v>151</v>
      </c>
      <c r="LK1" s="100" t="s">
        <v>150</v>
      </c>
      <c r="LL1" s="100" t="s">
        <v>149</v>
      </c>
      <c r="LM1" s="100" t="s">
        <v>148</v>
      </c>
      <c r="LN1" s="100" t="s">
        <v>147</v>
      </c>
      <c r="LO1" s="100" t="s">
        <v>146</v>
      </c>
      <c r="LP1" s="100" t="s">
        <v>145</v>
      </c>
      <c r="LQ1" s="100" t="s">
        <v>144</v>
      </c>
      <c r="LR1" s="100" t="s">
        <v>143</v>
      </c>
      <c r="LS1" s="100" t="s">
        <v>142</v>
      </c>
      <c r="LT1" s="100" t="s">
        <v>141</v>
      </c>
      <c r="LU1" s="100" t="s">
        <v>140</v>
      </c>
      <c r="LV1" s="100" t="s">
        <v>139</v>
      </c>
      <c r="LW1" s="100" t="s">
        <v>138</v>
      </c>
      <c r="LX1" s="100" t="s">
        <v>137</v>
      </c>
      <c r="LY1" s="100" t="s">
        <v>136</v>
      </c>
      <c r="LZ1" s="100" t="s">
        <v>135</v>
      </c>
      <c r="MA1" s="100" t="s">
        <v>134</v>
      </c>
      <c r="MB1" s="100" t="s">
        <v>133</v>
      </c>
      <c r="MC1" s="100" t="s">
        <v>132</v>
      </c>
      <c r="MD1" s="100" t="s">
        <v>131</v>
      </c>
      <c r="ME1" s="100" t="s">
        <v>130</v>
      </c>
      <c r="MF1" s="100" t="s">
        <v>129</v>
      </c>
      <c r="MG1" s="100" t="s">
        <v>128</v>
      </c>
      <c r="MH1" s="100" t="s">
        <v>127</v>
      </c>
      <c r="MI1" s="100" t="s">
        <v>126</v>
      </c>
      <c r="MJ1" s="100" t="s">
        <v>125</v>
      </c>
      <c r="MK1" s="100" t="s">
        <v>124</v>
      </c>
      <c r="ML1" s="100" t="s">
        <v>123</v>
      </c>
      <c r="MM1" s="100" t="s">
        <v>122</v>
      </c>
      <c r="MN1" s="100" t="s">
        <v>121</v>
      </c>
      <c r="MO1" s="100" t="s">
        <v>120</v>
      </c>
      <c r="MP1" s="100" t="s">
        <v>119</v>
      </c>
      <c r="MQ1" s="100" t="s">
        <v>118</v>
      </c>
      <c r="MR1" s="100" t="s">
        <v>117</v>
      </c>
      <c r="MS1" s="100" t="s">
        <v>116</v>
      </c>
      <c r="MT1" s="100" t="s">
        <v>115</v>
      </c>
      <c r="MU1" s="100" t="s">
        <v>114</v>
      </c>
      <c r="MV1" s="100" t="s">
        <v>113</v>
      </c>
      <c r="MW1" s="100" t="s">
        <v>112</v>
      </c>
      <c r="MX1" s="100" t="s">
        <v>111</v>
      </c>
      <c r="MY1" s="100" t="s">
        <v>110</v>
      </c>
      <c r="MZ1" s="100" t="s">
        <v>109</v>
      </c>
      <c r="NA1" s="100" t="s">
        <v>108</v>
      </c>
      <c r="NB1" s="100" t="s">
        <v>107</v>
      </c>
      <c r="NC1" s="100" t="s">
        <v>106</v>
      </c>
      <c r="ND1" s="100" t="s">
        <v>105</v>
      </c>
    </row>
    <row r="2" spans="1:368" s="106" customFormat="1" x14ac:dyDescent="0.2">
      <c r="A2" s="102" t="s">
        <v>49</v>
      </c>
      <c r="B2" s="103">
        <f t="shared" ref="B2:B11" si="0">COUNTIF($D2:$ND2,"A")</f>
        <v>1</v>
      </c>
      <c r="C2" s="103">
        <f t="shared" ref="C2:C11" si="1">COUNTIF($D2:$ND2,"L")</f>
        <v>0</v>
      </c>
      <c r="D2" s="104"/>
      <c r="E2" s="105" t="s">
        <v>104</v>
      </c>
      <c r="F2" s="105"/>
      <c r="G2" s="105"/>
      <c r="H2" s="105"/>
      <c r="I2" s="105"/>
      <c r="J2" s="105"/>
      <c r="K2" s="105"/>
      <c r="L2" s="105"/>
      <c r="M2" s="105"/>
      <c r="N2" s="105"/>
      <c r="O2" s="105"/>
      <c r="P2" s="105"/>
      <c r="Q2" s="105"/>
      <c r="R2" s="105"/>
      <c r="S2" s="105"/>
      <c r="T2" s="105"/>
      <c r="U2" s="105"/>
      <c r="V2" s="105"/>
      <c r="KS2" s="107"/>
      <c r="KT2" s="107"/>
      <c r="KU2" s="107"/>
      <c r="KV2" s="107"/>
      <c r="KW2" s="107"/>
      <c r="KX2" s="107"/>
      <c r="KY2" s="107"/>
      <c r="KZ2" s="107"/>
      <c r="LA2" s="107"/>
      <c r="LB2" s="107"/>
      <c r="LC2" s="107"/>
      <c r="LD2" s="107"/>
      <c r="LE2" s="107"/>
      <c r="LF2" s="107"/>
      <c r="LG2" s="107"/>
      <c r="LH2" s="107"/>
      <c r="LI2" s="107"/>
      <c r="LJ2" s="107"/>
      <c r="LK2" s="107"/>
      <c r="LL2" s="107"/>
      <c r="LM2" s="107"/>
      <c r="LN2" s="107"/>
      <c r="LO2" s="107"/>
      <c r="LP2" s="107"/>
      <c r="LQ2" s="107"/>
      <c r="LR2" s="107"/>
      <c r="LS2" s="107"/>
      <c r="LT2" s="107"/>
      <c r="LU2" s="107"/>
      <c r="LV2" s="107"/>
      <c r="LW2" s="107"/>
      <c r="LX2" s="107"/>
      <c r="LY2" s="107"/>
      <c r="LZ2" s="107"/>
      <c r="MA2" s="107"/>
      <c r="MB2" s="107"/>
      <c r="MC2" s="107"/>
      <c r="MD2" s="107"/>
      <c r="ME2" s="107"/>
      <c r="MF2" s="107"/>
      <c r="MG2" s="107"/>
      <c r="MH2" s="107"/>
      <c r="MI2" s="107"/>
      <c r="MJ2" s="107"/>
      <c r="MK2" s="107"/>
      <c r="ML2" s="107"/>
      <c r="MM2" s="107"/>
      <c r="MN2" s="107"/>
      <c r="MO2" s="107"/>
      <c r="MP2" s="107"/>
      <c r="MQ2" s="107"/>
      <c r="MR2" s="107"/>
      <c r="MS2" s="107"/>
      <c r="MT2" s="107"/>
      <c r="MU2" s="107"/>
      <c r="MV2" s="107"/>
      <c r="MW2" s="107"/>
      <c r="MX2" s="107"/>
      <c r="MY2" s="107"/>
      <c r="MZ2" s="107"/>
      <c r="NA2" s="107"/>
      <c r="NB2" s="107"/>
      <c r="NC2" s="107"/>
      <c r="ND2" s="107"/>
    </row>
    <row r="3" spans="1:368" s="106" customFormat="1" x14ac:dyDescent="0.2">
      <c r="A3" s="102" t="s">
        <v>50</v>
      </c>
      <c r="B3" s="103">
        <f t="shared" si="0"/>
        <v>0</v>
      </c>
      <c r="C3" s="103">
        <f t="shared" si="1"/>
        <v>1</v>
      </c>
      <c r="D3" s="104"/>
      <c r="E3" s="105"/>
      <c r="F3" s="105" t="s">
        <v>487</v>
      </c>
      <c r="G3" s="105"/>
      <c r="H3" s="105"/>
      <c r="I3" s="105"/>
      <c r="J3" s="105"/>
      <c r="K3" s="105"/>
      <c r="L3" s="105"/>
      <c r="M3" s="105"/>
      <c r="N3" s="105"/>
      <c r="O3" s="105"/>
      <c r="P3" s="105"/>
      <c r="Q3" s="105"/>
      <c r="R3" s="105"/>
      <c r="S3" s="105"/>
      <c r="T3" s="105"/>
      <c r="U3" s="105"/>
      <c r="V3" s="105"/>
      <c r="KS3" s="107"/>
      <c r="KT3" s="107"/>
      <c r="KU3" s="107"/>
      <c r="KV3" s="107"/>
      <c r="KW3" s="107"/>
      <c r="KX3" s="107"/>
      <c r="KY3" s="107"/>
      <c r="KZ3" s="107"/>
      <c r="LA3" s="107"/>
      <c r="LB3" s="107"/>
      <c r="LC3" s="107"/>
      <c r="LD3" s="107"/>
      <c r="LE3" s="107"/>
      <c r="LF3" s="107"/>
      <c r="LG3" s="107"/>
      <c r="LH3" s="107"/>
      <c r="LI3" s="107"/>
      <c r="LJ3" s="107"/>
      <c r="LK3" s="107"/>
      <c r="LL3" s="107"/>
      <c r="LM3" s="107"/>
      <c r="LN3" s="107"/>
      <c r="LO3" s="107"/>
      <c r="LP3" s="107"/>
      <c r="LQ3" s="107"/>
      <c r="LR3" s="107"/>
      <c r="LS3" s="107"/>
      <c r="LT3" s="107"/>
      <c r="LU3" s="107"/>
      <c r="LV3" s="107"/>
      <c r="LW3" s="107"/>
      <c r="LX3" s="107"/>
      <c r="LY3" s="107"/>
      <c r="LZ3" s="107"/>
      <c r="MA3" s="107"/>
      <c r="MB3" s="107"/>
      <c r="MC3" s="107"/>
      <c r="MD3" s="107"/>
      <c r="ME3" s="107"/>
      <c r="MF3" s="107"/>
      <c r="MG3" s="107"/>
      <c r="MH3" s="107"/>
      <c r="MI3" s="107"/>
      <c r="MJ3" s="107"/>
      <c r="MK3" s="107"/>
      <c r="ML3" s="107"/>
      <c r="MM3" s="107"/>
      <c r="MN3" s="107"/>
      <c r="MO3" s="107"/>
      <c r="MP3" s="107"/>
      <c r="MQ3" s="107"/>
      <c r="MR3" s="107"/>
      <c r="MS3" s="107"/>
      <c r="MT3" s="107"/>
      <c r="MU3" s="107"/>
      <c r="MV3" s="107"/>
      <c r="MW3" s="107"/>
      <c r="MX3" s="107"/>
      <c r="MY3" s="107"/>
      <c r="MZ3" s="107"/>
      <c r="NA3" s="107"/>
      <c r="NB3" s="107"/>
      <c r="NC3" s="107"/>
      <c r="ND3" s="107"/>
    </row>
    <row r="4" spans="1:368" s="106" customFormat="1" x14ac:dyDescent="0.2">
      <c r="A4" s="102" t="s">
        <v>51</v>
      </c>
      <c r="B4" s="103">
        <f t="shared" si="0"/>
        <v>2</v>
      </c>
      <c r="C4" s="103">
        <f t="shared" si="1"/>
        <v>0</v>
      </c>
      <c r="D4" s="104" t="s">
        <v>104</v>
      </c>
      <c r="E4" s="105" t="s">
        <v>104</v>
      </c>
      <c r="F4" s="105"/>
      <c r="G4" s="105"/>
      <c r="H4" s="105"/>
      <c r="I4" s="105"/>
      <c r="J4" s="105"/>
      <c r="K4" s="105"/>
      <c r="L4" s="105"/>
      <c r="M4" s="105"/>
      <c r="N4" s="105"/>
      <c r="O4" s="105"/>
      <c r="P4" s="105"/>
      <c r="Q4" s="105"/>
      <c r="R4" s="105"/>
      <c r="S4" s="105"/>
      <c r="T4" s="105"/>
      <c r="U4" s="105"/>
      <c r="V4" s="105"/>
      <c r="KS4" s="107"/>
      <c r="KT4" s="107"/>
      <c r="KU4" s="107"/>
      <c r="KV4" s="107"/>
      <c r="KW4" s="107"/>
      <c r="KX4" s="107"/>
      <c r="KY4" s="107"/>
      <c r="KZ4" s="107"/>
      <c r="LA4" s="107"/>
      <c r="LB4" s="107"/>
      <c r="LC4" s="107"/>
      <c r="LD4" s="107"/>
      <c r="LE4" s="107"/>
      <c r="LF4" s="107"/>
      <c r="LG4" s="107"/>
      <c r="LH4" s="107"/>
      <c r="LI4" s="107"/>
      <c r="LJ4" s="107"/>
      <c r="LK4" s="107"/>
      <c r="LL4" s="107"/>
      <c r="LM4" s="107"/>
      <c r="LN4" s="107"/>
      <c r="LO4" s="107"/>
      <c r="LP4" s="107"/>
      <c r="LQ4" s="107"/>
      <c r="LR4" s="107"/>
      <c r="LS4" s="107"/>
      <c r="LT4" s="107"/>
      <c r="LU4" s="107"/>
      <c r="LV4" s="107"/>
      <c r="LW4" s="107"/>
      <c r="LX4" s="107"/>
      <c r="LY4" s="107"/>
      <c r="LZ4" s="107"/>
      <c r="MA4" s="107"/>
      <c r="MB4" s="107"/>
      <c r="MC4" s="107"/>
      <c r="MD4" s="107"/>
      <c r="ME4" s="107"/>
      <c r="MF4" s="107"/>
      <c r="MG4" s="107"/>
      <c r="MH4" s="107"/>
      <c r="MI4" s="107"/>
      <c r="MJ4" s="107"/>
      <c r="MK4" s="107"/>
      <c r="ML4" s="107"/>
      <c r="MM4" s="107"/>
      <c r="MN4" s="107"/>
      <c r="MO4" s="107"/>
      <c r="MP4" s="107"/>
      <c r="MQ4" s="107"/>
      <c r="MR4" s="107"/>
      <c r="MS4" s="107"/>
      <c r="MT4" s="107"/>
      <c r="MU4" s="107"/>
      <c r="MV4" s="107"/>
      <c r="MW4" s="107"/>
      <c r="MX4" s="107"/>
      <c r="MY4" s="107"/>
      <c r="MZ4" s="107"/>
      <c r="NA4" s="107"/>
      <c r="NB4" s="107"/>
      <c r="NC4" s="107"/>
      <c r="ND4" s="107"/>
    </row>
    <row r="5" spans="1:368" s="106" customFormat="1" x14ac:dyDescent="0.2">
      <c r="A5" s="102" t="s">
        <v>53</v>
      </c>
      <c r="B5" s="103">
        <f t="shared" si="0"/>
        <v>0</v>
      </c>
      <c r="C5" s="103">
        <f t="shared" si="1"/>
        <v>0</v>
      </c>
      <c r="D5" s="104"/>
      <c r="E5" s="105"/>
      <c r="F5" s="105"/>
      <c r="G5" s="105"/>
      <c r="H5" s="105"/>
      <c r="I5" s="105"/>
      <c r="J5" s="105"/>
      <c r="K5" s="105"/>
      <c r="L5" s="105"/>
      <c r="M5" s="105"/>
      <c r="N5" s="105"/>
      <c r="O5" s="105"/>
      <c r="P5" s="105"/>
      <c r="Q5" s="105"/>
      <c r="R5" s="105"/>
      <c r="S5" s="105"/>
      <c r="T5" s="105"/>
      <c r="U5" s="105"/>
      <c r="V5" s="105"/>
      <c r="KS5" s="107"/>
      <c r="KT5" s="107"/>
      <c r="KU5" s="107"/>
      <c r="KV5" s="107"/>
      <c r="KW5" s="107"/>
      <c r="KX5" s="107"/>
      <c r="KY5" s="107"/>
      <c r="KZ5" s="107"/>
      <c r="LA5" s="107"/>
      <c r="LB5" s="107"/>
      <c r="LC5" s="107"/>
      <c r="LD5" s="107"/>
      <c r="LE5" s="107"/>
      <c r="LF5" s="107"/>
      <c r="LG5" s="107"/>
      <c r="LH5" s="107"/>
      <c r="LI5" s="107"/>
      <c r="LJ5" s="107"/>
      <c r="LK5" s="107"/>
      <c r="LL5" s="107"/>
      <c r="LM5" s="107"/>
      <c r="LN5" s="107"/>
      <c r="LO5" s="107"/>
      <c r="LP5" s="107"/>
      <c r="LQ5" s="107"/>
      <c r="LR5" s="107"/>
      <c r="LS5" s="107"/>
      <c r="LT5" s="107"/>
      <c r="LU5" s="107"/>
      <c r="LV5" s="107"/>
      <c r="LW5" s="107"/>
      <c r="LX5" s="107"/>
      <c r="LY5" s="107"/>
      <c r="LZ5" s="107"/>
      <c r="MA5" s="107"/>
      <c r="MB5" s="107"/>
      <c r="MC5" s="107"/>
      <c r="MD5" s="107"/>
      <c r="ME5" s="107"/>
      <c r="MF5" s="107"/>
      <c r="MG5" s="107"/>
      <c r="MH5" s="107"/>
      <c r="MI5" s="107"/>
      <c r="MJ5" s="107"/>
      <c r="MK5" s="107"/>
      <c r="ML5" s="107"/>
      <c r="MM5" s="107"/>
      <c r="MN5" s="107"/>
      <c r="MO5" s="107"/>
      <c r="MP5" s="107"/>
      <c r="MQ5" s="107"/>
      <c r="MR5" s="107"/>
      <c r="MS5" s="107"/>
      <c r="MT5" s="107"/>
      <c r="MU5" s="107"/>
      <c r="MV5" s="107"/>
      <c r="MW5" s="107"/>
      <c r="MX5" s="107"/>
      <c r="MY5" s="107"/>
      <c r="MZ5" s="107"/>
      <c r="NA5" s="107"/>
      <c r="NB5" s="107"/>
      <c r="NC5" s="107"/>
      <c r="ND5" s="107"/>
    </row>
    <row r="6" spans="1:368" s="106" customFormat="1" x14ac:dyDescent="0.2">
      <c r="A6" s="102" t="s">
        <v>54</v>
      </c>
      <c r="B6" s="103">
        <f t="shared" si="0"/>
        <v>0</v>
      </c>
      <c r="C6" s="103">
        <f t="shared" si="1"/>
        <v>0</v>
      </c>
      <c r="D6" s="104"/>
      <c r="E6" s="105"/>
      <c r="F6" s="105"/>
      <c r="G6" s="105"/>
      <c r="H6" s="105"/>
      <c r="I6" s="105"/>
      <c r="J6" s="105"/>
      <c r="K6" s="105"/>
      <c r="L6" s="105"/>
      <c r="M6" s="105"/>
      <c r="N6" s="105"/>
      <c r="O6" s="105"/>
      <c r="P6" s="105"/>
      <c r="Q6" s="105"/>
      <c r="R6" s="105"/>
      <c r="S6" s="105"/>
      <c r="T6" s="105"/>
      <c r="U6" s="105"/>
      <c r="V6" s="105"/>
      <c r="KS6" s="107"/>
      <c r="KT6" s="107"/>
      <c r="KU6" s="107"/>
      <c r="KV6" s="107"/>
      <c r="KW6" s="107"/>
      <c r="KX6" s="107"/>
      <c r="KY6" s="107"/>
      <c r="KZ6" s="107"/>
      <c r="LA6" s="107"/>
      <c r="LB6" s="107"/>
      <c r="LC6" s="107"/>
      <c r="LD6" s="107"/>
      <c r="LE6" s="107"/>
      <c r="LF6" s="107"/>
      <c r="LG6" s="107"/>
      <c r="LH6" s="107"/>
      <c r="LI6" s="107"/>
      <c r="LJ6" s="107"/>
      <c r="LK6" s="107"/>
      <c r="LL6" s="107"/>
      <c r="LM6" s="107"/>
      <c r="LN6" s="107"/>
      <c r="LO6" s="107"/>
      <c r="LP6" s="107"/>
      <c r="LQ6" s="107"/>
      <c r="LR6" s="107"/>
      <c r="LS6" s="107"/>
      <c r="LT6" s="107"/>
      <c r="LU6" s="107"/>
      <c r="LV6" s="107"/>
      <c r="LW6" s="107"/>
      <c r="LX6" s="107"/>
      <c r="LY6" s="107"/>
      <c r="LZ6" s="107"/>
      <c r="MA6" s="107"/>
      <c r="MB6" s="107"/>
      <c r="MC6" s="107"/>
      <c r="MD6" s="107"/>
      <c r="ME6" s="107"/>
      <c r="MF6" s="107"/>
      <c r="MG6" s="107"/>
      <c r="MH6" s="107"/>
      <c r="MI6" s="107"/>
      <c r="MJ6" s="107"/>
      <c r="MK6" s="107"/>
      <c r="ML6" s="107"/>
      <c r="MM6" s="107"/>
      <c r="MN6" s="107"/>
      <c r="MO6" s="107"/>
      <c r="MP6" s="107"/>
      <c r="MQ6" s="107"/>
      <c r="MR6" s="107"/>
      <c r="MS6" s="107"/>
      <c r="MT6" s="107"/>
      <c r="MU6" s="107"/>
      <c r="MV6" s="107"/>
      <c r="MW6" s="107"/>
      <c r="MX6" s="107"/>
      <c r="MY6" s="107"/>
      <c r="MZ6" s="107"/>
      <c r="NA6" s="107"/>
      <c r="NB6" s="107"/>
      <c r="NC6" s="107"/>
      <c r="ND6" s="107"/>
    </row>
    <row r="7" spans="1:368" s="106" customFormat="1" x14ac:dyDescent="0.2">
      <c r="A7" s="102" t="s">
        <v>55</v>
      </c>
      <c r="B7" s="103">
        <f t="shared" si="0"/>
        <v>0</v>
      </c>
      <c r="C7" s="103">
        <f t="shared" si="1"/>
        <v>0</v>
      </c>
      <c r="D7" s="104"/>
      <c r="E7" s="105"/>
      <c r="F7" s="105"/>
      <c r="G7" s="105"/>
      <c r="H7" s="105"/>
      <c r="I7" s="105"/>
      <c r="J7" s="105"/>
      <c r="K7" s="105"/>
      <c r="L7" s="105"/>
      <c r="M7" s="105"/>
      <c r="N7" s="105"/>
      <c r="O7" s="105"/>
      <c r="P7" s="105"/>
      <c r="Q7" s="105"/>
      <c r="R7" s="105"/>
      <c r="S7" s="105"/>
      <c r="T7" s="105"/>
      <c r="U7" s="105"/>
      <c r="V7" s="105"/>
      <c r="KS7" s="107"/>
      <c r="KT7" s="107"/>
      <c r="KU7" s="107"/>
      <c r="KV7" s="107"/>
      <c r="KW7" s="107"/>
      <c r="KX7" s="107"/>
      <c r="KY7" s="107"/>
      <c r="KZ7" s="107"/>
      <c r="LA7" s="107"/>
      <c r="LB7" s="107"/>
      <c r="LC7" s="107"/>
      <c r="LD7" s="107"/>
      <c r="LE7" s="107"/>
      <c r="LF7" s="107"/>
      <c r="LG7" s="107"/>
      <c r="LH7" s="107"/>
      <c r="LI7" s="107"/>
      <c r="LJ7" s="107"/>
      <c r="LK7" s="107"/>
      <c r="LL7" s="107"/>
      <c r="LM7" s="107"/>
      <c r="LN7" s="107"/>
      <c r="LO7" s="107"/>
      <c r="LP7" s="107"/>
      <c r="LQ7" s="107"/>
      <c r="LR7" s="107"/>
      <c r="LS7" s="107"/>
      <c r="LT7" s="107"/>
      <c r="LU7" s="107"/>
      <c r="LV7" s="107"/>
      <c r="LW7" s="107"/>
      <c r="LX7" s="107"/>
      <c r="LY7" s="107"/>
      <c r="LZ7" s="107"/>
      <c r="MA7" s="107"/>
      <c r="MB7" s="107"/>
      <c r="MC7" s="107"/>
      <c r="MD7" s="107"/>
      <c r="ME7" s="107"/>
      <c r="MF7" s="107"/>
      <c r="MG7" s="107"/>
      <c r="MH7" s="107"/>
      <c r="MI7" s="107"/>
      <c r="MJ7" s="107"/>
      <c r="MK7" s="107"/>
      <c r="ML7" s="107"/>
      <c r="MM7" s="107"/>
      <c r="MN7" s="107"/>
      <c r="MO7" s="107"/>
      <c r="MP7" s="107"/>
      <c r="MQ7" s="107"/>
      <c r="MR7" s="107"/>
      <c r="MS7" s="107"/>
      <c r="MT7" s="107"/>
      <c r="MU7" s="107"/>
      <c r="MV7" s="107"/>
      <c r="MW7" s="107"/>
      <c r="MX7" s="107"/>
      <c r="MY7" s="107"/>
      <c r="MZ7" s="107"/>
      <c r="NA7" s="107"/>
      <c r="NB7" s="107"/>
      <c r="NC7" s="107"/>
      <c r="ND7" s="107"/>
    </row>
    <row r="8" spans="1:368" s="106" customFormat="1" x14ac:dyDescent="0.2">
      <c r="A8" s="102" t="s">
        <v>56</v>
      </c>
      <c r="B8" s="103">
        <f t="shared" si="0"/>
        <v>0</v>
      </c>
      <c r="C8" s="103">
        <f t="shared" si="1"/>
        <v>0</v>
      </c>
      <c r="D8" s="104"/>
      <c r="E8" s="105"/>
      <c r="F8" s="105"/>
      <c r="G8" s="105"/>
      <c r="H8" s="105"/>
      <c r="I8" s="105"/>
      <c r="J8" s="105"/>
      <c r="K8" s="105"/>
      <c r="L8" s="105"/>
      <c r="M8" s="105"/>
      <c r="N8" s="105"/>
      <c r="O8" s="105"/>
      <c r="P8" s="105"/>
      <c r="Q8" s="105"/>
      <c r="R8" s="105"/>
      <c r="S8" s="105"/>
      <c r="T8" s="105"/>
      <c r="U8" s="105"/>
      <c r="V8" s="105"/>
      <c r="KS8" s="107"/>
      <c r="KT8" s="107"/>
      <c r="KU8" s="107"/>
      <c r="KV8" s="107"/>
      <c r="KW8" s="107"/>
      <c r="KX8" s="107"/>
      <c r="KY8" s="107"/>
      <c r="KZ8" s="107"/>
      <c r="LA8" s="107"/>
      <c r="LB8" s="107"/>
      <c r="LC8" s="107"/>
      <c r="LD8" s="107"/>
      <c r="LE8" s="107"/>
      <c r="LF8" s="107"/>
      <c r="LG8" s="107"/>
      <c r="LH8" s="107"/>
      <c r="LI8" s="107"/>
      <c r="LJ8" s="107"/>
      <c r="LK8" s="107"/>
      <c r="LL8" s="107"/>
      <c r="LM8" s="107"/>
      <c r="LN8" s="107"/>
      <c r="LO8" s="107"/>
      <c r="LP8" s="107"/>
      <c r="LQ8" s="107"/>
      <c r="LR8" s="107"/>
      <c r="LS8" s="107"/>
      <c r="LT8" s="107"/>
      <c r="LU8" s="107"/>
      <c r="LV8" s="107"/>
      <c r="LW8" s="107"/>
      <c r="LX8" s="107"/>
      <c r="LY8" s="107"/>
      <c r="LZ8" s="107"/>
      <c r="MA8" s="107"/>
      <c r="MB8" s="107"/>
      <c r="MC8" s="107"/>
      <c r="MD8" s="107"/>
      <c r="ME8" s="107"/>
      <c r="MF8" s="107"/>
      <c r="MG8" s="107"/>
      <c r="MH8" s="107"/>
      <c r="MI8" s="107"/>
      <c r="MJ8" s="107"/>
      <c r="MK8" s="107"/>
      <c r="ML8" s="107"/>
      <c r="MM8" s="107"/>
      <c r="MN8" s="107"/>
      <c r="MO8" s="107"/>
      <c r="MP8" s="107"/>
      <c r="MQ8" s="107"/>
      <c r="MR8" s="107"/>
      <c r="MS8" s="107"/>
      <c r="MT8" s="107"/>
      <c r="MU8" s="107"/>
      <c r="MV8" s="107"/>
      <c r="MW8" s="107"/>
      <c r="MX8" s="107"/>
      <c r="MY8" s="107"/>
      <c r="MZ8" s="107"/>
      <c r="NA8" s="107"/>
      <c r="NB8" s="107"/>
      <c r="NC8" s="107"/>
      <c r="ND8" s="107"/>
    </row>
    <row r="9" spans="1:368" s="106" customFormat="1" x14ac:dyDescent="0.2">
      <c r="A9" s="102" t="s">
        <v>57</v>
      </c>
      <c r="B9" s="103">
        <f t="shared" si="0"/>
        <v>0</v>
      </c>
      <c r="C9" s="103">
        <f t="shared" si="1"/>
        <v>0</v>
      </c>
      <c r="D9" s="104"/>
      <c r="E9" s="105"/>
      <c r="F9" s="105"/>
      <c r="G9" s="105"/>
      <c r="H9" s="105"/>
      <c r="I9" s="105"/>
      <c r="J9" s="105"/>
      <c r="K9" s="105"/>
      <c r="L9" s="105"/>
      <c r="M9" s="105"/>
      <c r="N9" s="105"/>
      <c r="O9" s="105"/>
      <c r="P9" s="105"/>
      <c r="Q9" s="105"/>
      <c r="R9" s="105"/>
      <c r="S9" s="105"/>
      <c r="T9" s="105"/>
      <c r="U9" s="105"/>
      <c r="V9" s="105"/>
      <c r="KS9" s="107"/>
      <c r="KT9" s="107"/>
      <c r="KU9" s="107"/>
      <c r="KV9" s="107"/>
      <c r="KW9" s="107"/>
      <c r="KX9" s="107"/>
      <c r="KY9" s="107"/>
      <c r="KZ9" s="107"/>
      <c r="LA9" s="107"/>
      <c r="LB9" s="107"/>
      <c r="LC9" s="107"/>
      <c r="LD9" s="107"/>
      <c r="LE9" s="107"/>
      <c r="LF9" s="107"/>
      <c r="LG9" s="107"/>
      <c r="LH9" s="107"/>
      <c r="LI9" s="107"/>
      <c r="LJ9" s="107"/>
      <c r="LK9" s="107"/>
      <c r="LL9" s="107"/>
      <c r="LM9" s="107"/>
      <c r="LN9" s="107"/>
      <c r="LO9" s="107"/>
      <c r="LP9" s="107"/>
      <c r="LQ9" s="107"/>
      <c r="LR9" s="107"/>
      <c r="LS9" s="107"/>
      <c r="LT9" s="107"/>
      <c r="LU9" s="107"/>
      <c r="LV9" s="107"/>
      <c r="LW9" s="107"/>
      <c r="LX9" s="107"/>
      <c r="LY9" s="107"/>
      <c r="LZ9" s="107"/>
      <c r="MA9" s="107"/>
      <c r="MB9" s="107"/>
      <c r="MC9" s="107"/>
      <c r="MD9" s="107"/>
      <c r="ME9" s="107"/>
      <c r="MF9" s="107"/>
      <c r="MG9" s="107"/>
      <c r="MH9" s="107"/>
      <c r="MI9" s="107"/>
      <c r="MJ9" s="107"/>
      <c r="MK9" s="107"/>
      <c r="ML9" s="107"/>
      <c r="MM9" s="107"/>
      <c r="MN9" s="107"/>
      <c r="MO9" s="107"/>
      <c r="MP9" s="107"/>
      <c r="MQ9" s="107"/>
      <c r="MR9" s="107"/>
      <c r="MS9" s="107"/>
      <c r="MT9" s="107"/>
      <c r="MU9" s="107"/>
      <c r="MV9" s="107"/>
      <c r="MW9" s="107"/>
      <c r="MX9" s="107"/>
      <c r="MY9" s="107"/>
      <c r="MZ9" s="107"/>
      <c r="NA9" s="107"/>
      <c r="NB9" s="107"/>
      <c r="NC9" s="107"/>
      <c r="ND9" s="107"/>
    </row>
    <row r="10" spans="1:368" s="106" customFormat="1" x14ac:dyDescent="0.2">
      <c r="A10" s="102" t="s">
        <v>58</v>
      </c>
      <c r="B10" s="103">
        <f t="shared" si="0"/>
        <v>0</v>
      </c>
      <c r="C10" s="103">
        <f t="shared" si="1"/>
        <v>0</v>
      </c>
      <c r="D10" s="104"/>
      <c r="E10" s="105"/>
      <c r="F10" s="105"/>
      <c r="G10" s="105"/>
      <c r="H10" s="105"/>
      <c r="I10" s="105"/>
      <c r="J10" s="105"/>
      <c r="K10" s="105"/>
      <c r="L10" s="105"/>
      <c r="M10" s="105"/>
      <c r="N10" s="105"/>
      <c r="O10" s="105"/>
      <c r="P10" s="105"/>
      <c r="Q10" s="105"/>
      <c r="R10" s="105"/>
      <c r="S10" s="105"/>
      <c r="T10" s="105"/>
      <c r="U10" s="105"/>
      <c r="V10" s="105"/>
      <c r="KS10" s="107"/>
      <c r="KT10" s="107"/>
      <c r="KU10" s="107"/>
      <c r="KV10" s="107"/>
      <c r="KW10" s="107"/>
      <c r="KX10" s="107"/>
      <c r="KY10" s="107"/>
      <c r="KZ10" s="107"/>
      <c r="LA10" s="107"/>
      <c r="LB10" s="107"/>
      <c r="LC10" s="107"/>
      <c r="LD10" s="107"/>
      <c r="LE10" s="107"/>
      <c r="LF10" s="107"/>
      <c r="LG10" s="107"/>
      <c r="LH10" s="107"/>
      <c r="LI10" s="107"/>
      <c r="LJ10" s="107"/>
      <c r="LK10" s="107"/>
      <c r="LL10" s="107"/>
      <c r="LM10" s="107"/>
      <c r="LN10" s="107"/>
      <c r="LO10" s="107"/>
      <c r="LP10" s="107"/>
      <c r="LQ10" s="107"/>
      <c r="LR10" s="107"/>
      <c r="LS10" s="107"/>
      <c r="LT10" s="107"/>
      <c r="LU10" s="107"/>
      <c r="LV10" s="107"/>
      <c r="LW10" s="107"/>
      <c r="LX10" s="107"/>
      <c r="LY10" s="107"/>
      <c r="LZ10" s="107"/>
      <c r="MA10" s="107"/>
      <c r="MB10" s="107"/>
      <c r="MC10" s="107"/>
      <c r="MD10" s="107"/>
      <c r="ME10" s="107"/>
      <c r="MF10" s="107"/>
      <c r="MG10" s="107"/>
      <c r="MH10" s="107"/>
      <c r="MI10" s="107"/>
      <c r="MJ10" s="107"/>
      <c r="MK10" s="107"/>
      <c r="ML10" s="107"/>
      <c r="MM10" s="107"/>
      <c r="MN10" s="107"/>
      <c r="MO10" s="107"/>
      <c r="MP10" s="107"/>
      <c r="MQ10" s="107"/>
      <c r="MR10" s="107"/>
      <c r="MS10" s="107"/>
      <c r="MT10" s="107"/>
      <c r="MU10" s="107"/>
      <c r="MV10" s="107"/>
      <c r="MW10" s="107"/>
      <c r="MX10" s="107"/>
      <c r="MY10" s="107"/>
      <c r="MZ10" s="107"/>
      <c r="NA10" s="107"/>
      <c r="NB10" s="107"/>
      <c r="NC10" s="107"/>
      <c r="ND10" s="107"/>
    </row>
    <row r="11" spans="1:368" s="106" customFormat="1" x14ac:dyDescent="0.2">
      <c r="A11" s="102" t="s">
        <v>59</v>
      </c>
      <c r="B11" s="103">
        <f t="shared" si="0"/>
        <v>0</v>
      </c>
      <c r="C11" s="103">
        <f t="shared" si="1"/>
        <v>0</v>
      </c>
      <c r="D11" s="104"/>
      <c r="E11" s="105"/>
      <c r="F11" s="105"/>
      <c r="G11" s="105"/>
      <c r="H11" s="105"/>
      <c r="I11" s="105"/>
      <c r="J11" s="105"/>
      <c r="K11" s="105"/>
      <c r="L11" s="105"/>
      <c r="M11" s="105"/>
      <c r="N11" s="105"/>
      <c r="O11" s="105"/>
      <c r="P11" s="105"/>
      <c r="Q11" s="105"/>
      <c r="R11" s="105"/>
      <c r="S11" s="105"/>
      <c r="T11" s="105"/>
      <c r="U11" s="105"/>
      <c r="V11" s="105"/>
      <c r="KS11" s="107"/>
      <c r="KT11" s="107"/>
      <c r="KU11" s="107"/>
      <c r="KV11" s="107"/>
      <c r="KW11" s="107"/>
      <c r="KX11" s="107"/>
      <c r="KY11" s="107"/>
      <c r="KZ11" s="107"/>
      <c r="LA11" s="107"/>
      <c r="LB11" s="107"/>
      <c r="LC11" s="107"/>
      <c r="LD11" s="107"/>
      <c r="LE11" s="107"/>
      <c r="LF11" s="107"/>
      <c r="LG11" s="107"/>
      <c r="LH11" s="107"/>
      <c r="LI11" s="107"/>
      <c r="LJ11" s="107"/>
      <c r="LK11" s="107"/>
      <c r="LL11" s="107"/>
      <c r="LM11" s="107"/>
      <c r="LN11" s="107"/>
      <c r="LO11" s="107"/>
      <c r="LP11" s="107"/>
      <c r="LQ11" s="107"/>
      <c r="LR11" s="107"/>
      <c r="LS11" s="107"/>
      <c r="LT11" s="107"/>
      <c r="LU11" s="107"/>
      <c r="LV11" s="107"/>
      <c r="LW11" s="107"/>
      <c r="LX11" s="107"/>
      <c r="LY11" s="107"/>
      <c r="LZ11" s="107"/>
      <c r="MA11" s="107"/>
      <c r="MB11" s="107"/>
      <c r="MC11" s="107"/>
      <c r="MD11" s="107"/>
      <c r="ME11" s="107"/>
      <c r="MF11" s="107"/>
      <c r="MG11" s="107"/>
      <c r="MH11" s="107"/>
      <c r="MI11" s="107"/>
      <c r="MJ11" s="107"/>
      <c r="MK11" s="107"/>
      <c r="ML11" s="107"/>
      <c r="MM11" s="107"/>
      <c r="MN11" s="107"/>
      <c r="MO11" s="107"/>
      <c r="MP11" s="107"/>
      <c r="MQ11" s="107"/>
      <c r="MR11" s="107"/>
      <c r="MS11" s="107"/>
      <c r="MT11" s="107"/>
      <c r="MU11" s="107"/>
      <c r="MV11" s="107"/>
      <c r="MW11" s="107"/>
      <c r="MX11" s="107"/>
      <c r="MY11" s="107"/>
      <c r="MZ11" s="107"/>
      <c r="NA11" s="107"/>
      <c r="NB11" s="107"/>
      <c r="NC11" s="107"/>
      <c r="ND11" s="107"/>
    </row>
  </sheetData>
  <conditionalFormatting sqref="B2:C11">
    <cfRule type="colorScale" priority="3">
      <colorScale>
        <cfvo type="num" val="0"/>
        <cfvo type="num" val="1"/>
        <cfvo type="num" val="3"/>
        <color theme="4" tint="0.59999389629810485"/>
        <color theme="2" tint="-0.249977111117893"/>
        <color rgb="FFFF0D0D"/>
      </colorScale>
    </cfRule>
  </conditionalFormatting>
  <conditionalFormatting sqref="D1:ND1048576">
    <cfRule type="expression" dxfId="0" priority="2">
      <formula>IF(DATEVALUE(D$1)=TODAY(),1,0)</formula>
    </cfRule>
  </conditionalFormatting>
  <dataValidations count="1">
    <dataValidation type="list" errorStyle="information" allowBlank="1" sqref="D2:ND11">
      <formula1>"a,l"</formula1>
    </dataValidation>
  </dataValidations>
  <pageMargins left="0.7" right="0.7" top="0.75" bottom="0.75" header="0.3" footer="0.3"/>
  <pageSetup orientation="portrait" horizontalDpi="4294967293" verticalDpi="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Data Entry</vt:lpstr>
      <vt:lpstr>Options and Things to Try</vt:lpstr>
      <vt:lpstr>Distribution</vt:lpstr>
      <vt:lpstr>Explore</vt:lpstr>
      <vt:lpstr>Print</vt:lpstr>
      <vt:lpstr>Absences</vt:lpstr>
      <vt:lpstr>ColorTable</vt:lpstr>
      <vt:lpstr>GradeGoal</vt:lpstr>
      <vt:lpstr>Print!Print_Titles</vt:lpstr>
    </vt:vector>
  </TitlesOfParts>
  <Company>Massachusetts Institute of Technology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jabbott</dc:creator>
  <cp:lastModifiedBy>jabbott</cp:lastModifiedBy>
  <cp:lastPrinted>2013-03-29T10:55:24Z</cp:lastPrinted>
  <dcterms:created xsi:type="dcterms:W3CDTF">2013-03-23T16:29:11Z</dcterms:created>
  <dcterms:modified xsi:type="dcterms:W3CDTF">2013-06-21T10:28:11Z</dcterms:modified>
</cp:coreProperties>
</file>