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96" windowWidth="20500" windowHeight="13560" tabRatio="866" activeTab="0"/>
  </bookViews>
  <sheets>
    <sheet name="Put option ON project - student" sheetId="1" r:id="rId1"/>
    <sheet name="Put option ON project - sln" sheetId="2" r:id="rId2"/>
    <sheet name="Call option IN project - sln" sheetId="3" r:id="rId3"/>
  </sheets>
  <definedNames>
    <definedName name="Prob_down" localSheetId="2">'Call option IN project - sln'!$D$5</definedName>
    <definedName name="Prob_down" localSheetId="1">'Put option ON project - sln'!$D$5</definedName>
    <definedName name="Prob_down" localSheetId="0">'Put option ON project - student'!$D$4</definedName>
    <definedName name="Prob_down">#REF!</definedName>
    <definedName name="Prob_up" localSheetId="2">'Call option IN project - sln'!$B$5</definedName>
    <definedName name="Prob_up" localSheetId="1">'Put option ON project - sln'!$B$5</definedName>
    <definedName name="Prob_up" localSheetId="0">'Put option ON project - student'!$B$4</definedName>
    <definedName name="Prob_up">#REF!</definedName>
  </definedNames>
  <calcPr calcMode="manual" fullCalcOnLoad="1" calcCompleted="0" calcOnSave="0"/>
</workbook>
</file>

<file path=xl/comments1.xml><?xml version="1.0" encoding="utf-8"?>
<comments xmlns="http://schemas.openxmlformats.org/spreadsheetml/2006/main">
  <authors>
    <author>Michel-Alexandre Cardin</author>
  </authors>
  <commentList>
    <comment ref="C36" authorId="0">
      <text>
        <r>
          <rPr>
            <b/>
            <sz val="9"/>
            <rFont val="Arial"/>
            <family val="0"/>
          </rPr>
          <t>Michel-Alexandre Cardin:</t>
        </r>
        <r>
          <rPr>
            <sz val="9"/>
            <rFont val="Arial"/>
            <family val="0"/>
          </rPr>
          <t xml:space="preserve">
This is the fixed investment plus the revenues - operating cost per ton produced. Type =$M$4+$I$4*(C8-$M$5)</t>
        </r>
      </text>
    </comment>
    <comment ref="B49" authorId="0">
      <text>
        <r>
          <rPr>
            <b/>
            <sz val="9"/>
            <rFont val="Arial"/>
            <family val="0"/>
          </rPr>
          <t>Michel-Alexandre Cardin:</t>
        </r>
        <r>
          <rPr>
            <sz val="9"/>
            <rFont val="Arial"/>
            <family val="0"/>
          </rPr>
          <t xml:space="preserve">
This is the cash flow multiplied by the probability to obtain the weighted probability. Type =B36*B21. This is the same for all yellow areas.</t>
        </r>
      </text>
    </comment>
    <comment ref="A62" authorId="0">
      <text>
        <r>
          <rPr>
            <b/>
            <sz val="9"/>
            <rFont val="Arial"/>
            <family val="0"/>
          </rPr>
          <t>Michel-Alexandre Cardin:</t>
        </r>
        <r>
          <rPr>
            <sz val="9"/>
            <rFont val="Arial"/>
            <family val="0"/>
          </rPr>
          <t xml:space="preserve">
The sum of all probability weighted cash flow to get an expected value of cash flows.</t>
        </r>
      </text>
    </comment>
    <comment ref="A63" authorId="0">
      <text>
        <r>
          <rPr>
            <b/>
            <sz val="9"/>
            <rFont val="Arial"/>
            <family val="0"/>
          </rPr>
          <t>Michel-Alexandre Cardin:</t>
        </r>
        <r>
          <rPr>
            <sz val="9"/>
            <rFont val="Arial"/>
            <family val="0"/>
          </rPr>
          <t xml:space="preserve">
This is the expected cash flows discounted back to present time.</t>
        </r>
      </text>
    </comment>
    <comment ref="G75" authorId="0">
      <text>
        <r>
          <rPr>
            <b/>
            <sz val="9"/>
            <rFont val="Arial"/>
            <family val="0"/>
          </rPr>
          <t>Michel-Alexandre Cardin:</t>
        </r>
        <r>
          <rPr>
            <sz val="9"/>
            <rFont val="Arial"/>
            <family val="0"/>
          </rPr>
          <t xml:space="preserve">
Here, we backtrack the tree in time. If the expected cash flow next year (year 6) is lower than the fixed cost, the project is abandoned so that the total cash flows for year 5 are the cash flows of that year (cell G36) minus the fixed cost for year 6 (which happens for sure given we abandoned) discounted by one year to bring it back to year 5. If the expected cash flow is above the fixed cost next year, the discounted expected cash flows for year 6 plus the cash flow for year 5 are recorded in the cell. Type =IF(H75*Prob_up+H76*Prob_down&lt;$M$4,$M$4/(1+$I$5)+G36,(H75*Prob_up+H76*Prob_down)/(1+$I$5)+G36)</t>
        </r>
      </text>
    </comment>
    <comment ref="B75" authorId="0">
      <text>
        <r>
          <rPr>
            <b/>
            <sz val="9"/>
            <rFont val="Arial"/>
            <family val="0"/>
          </rPr>
          <t>Michel-Alexandre Cardin:</t>
        </r>
        <r>
          <rPr>
            <sz val="9"/>
            <rFont val="Arial"/>
            <family val="0"/>
          </rPr>
          <t xml:space="preserve">
This present value of the entire flexible project is obtained by backtracking in time from year 6. See comment on cell G75.</t>
        </r>
      </text>
    </comment>
    <comment ref="H75" authorId="0">
      <text>
        <r>
          <rPr>
            <b/>
            <sz val="9"/>
            <rFont val="Arial"/>
            <family val="0"/>
          </rPr>
          <t>Michel-Alexandre Cardin:</t>
        </r>
        <r>
          <rPr>
            <sz val="9"/>
            <rFont val="Arial"/>
            <family val="0"/>
          </rPr>
          <t xml:space="preserve">
Net undiscounted cash flow expected for year 6 given a continuous succession of up states for all years.</t>
        </r>
      </text>
    </comment>
    <comment ref="B87" authorId="0">
      <text>
        <r>
          <rPr>
            <b/>
            <sz val="9"/>
            <rFont val="Arial"/>
            <family val="0"/>
          </rPr>
          <t>Michel-Alexandre Cardin:</t>
        </r>
        <r>
          <rPr>
            <sz val="9"/>
            <rFont val="Arial"/>
            <family val="0"/>
          </rPr>
          <t xml:space="preserve">
Here we determine the best strategy. If the expected value of present value benefits at year 1 is above the fixed cost of $1M, we go on and produce. If not, we abandon the project. Type =IF(C75*Prob_up+C76*Prob_down&lt;$M$4,"YES","NO")</t>
        </r>
      </text>
    </comment>
    <comment ref="A67" authorId="0">
      <text>
        <r>
          <rPr>
            <b/>
            <sz val="9"/>
            <rFont val="Arial"/>
            <family val="0"/>
          </rPr>
          <t>Michel-Alexandre Cardin:</t>
        </r>
        <r>
          <rPr>
            <sz val="9"/>
            <rFont val="Arial"/>
            <family val="0"/>
          </rPr>
          <t xml:space="preserve">
This is the evaluation using the dynamic programming backtracking approach with NO flexibility at all. This is done to compare the final NPV obtained through this method with the NPV obtained using the above method.</t>
        </r>
      </text>
    </comment>
    <comment ref="G67" authorId="0">
      <text>
        <r>
          <rPr>
            <b/>
            <sz val="9"/>
            <rFont val="Arial"/>
            <family val="0"/>
          </rPr>
          <t>Michel-Alexandre Cardin:</t>
        </r>
        <r>
          <rPr>
            <sz val="9"/>
            <rFont val="Arial"/>
            <family val="0"/>
          </rPr>
          <t xml:space="preserve">
Here, we use the dynamic programming approach and backtrack through time. We put ourselves at the end of year 5, where two possible states may arise in year 6: up or down. Since we don't know the exact outcome, we take an expected value of what will happen in year 6 in terms of net benefits, discount it by 1 year (to have present value at the end of year 5), and add the net benefits obtained in year 5. Type =(Prob_up*H67+Prob_down*H68)/(1+$I$5)+G36</t>
        </r>
      </text>
    </comment>
    <comment ref="H67" authorId="0">
      <text>
        <r>
          <rPr>
            <b/>
            <sz val="9"/>
            <rFont val="Arial"/>
            <family val="0"/>
          </rPr>
          <t>Michel-Alexandre Cardin:</t>
        </r>
        <r>
          <rPr>
            <sz val="9"/>
            <rFont val="Arial"/>
            <family val="0"/>
          </rPr>
          <t xml:space="preserve">
Net undiscounted cash flow expected for year 6 given a continuous succession of up states for all years.</t>
        </r>
      </text>
    </comment>
    <comment ref="B36" authorId="0">
      <text>
        <r>
          <rPr>
            <b/>
            <sz val="9"/>
            <rFont val="Arial"/>
            <family val="0"/>
          </rPr>
          <t>Michel-Alexandre Cardin:</t>
        </r>
        <r>
          <rPr>
            <sz val="9"/>
            <rFont val="Arial"/>
            <family val="0"/>
          </rPr>
          <t xml:space="preserve">
There is no operation, and no investment cost considered in this example case at t = 0 so cash flow is zero.</t>
        </r>
      </text>
    </comment>
  </commentList>
</comments>
</file>

<file path=xl/comments2.xml><?xml version="1.0" encoding="utf-8"?>
<comments xmlns="http://schemas.openxmlformats.org/spreadsheetml/2006/main">
  <authors>
    <author>Michel-Alexandre Cardin</author>
  </authors>
  <commentList>
    <comment ref="A79" authorId="0">
      <text>
        <r>
          <rPr>
            <b/>
            <sz val="9"/>
            <rFont val="Arial"/>
            <family val="0"/>
          </rPr>
          <t>Michel-Alexandre Cardin:</t>
        </r>
        <r>
          <rPr>
            <sz val="9"/>
            <rFont val="Arial"/>
            <family val="0"/>
          </rPr>
          <t xml:space="preserve">
This is the evaluation using the dynamic programming backtracking approach with NO flexibility at all. This is done to compare the final NPV obtained through this method with the NPV obtained using the above method.</t>
        </r>
      </text>
    </comment>
    <comment ref="B39" authorId="0">
      <text>
        <r>
          <rPr>
            <b/>
            <sz val="9"/>
            <rFont val="Arial"/>
            <family val="0"/>
          </rPr>
          <t>Michel-Alexandre Cardin:</t>
        </r>
        <r>
          <rPr>
            <sz val="9"/>
            <rFont val="Arial"/>
            <family val="0"/>
          </rPr>
          <t xml:space="preserve">
There is no operation, and no investment cost considered in this example case at t = 0 so cash flow is zero.</t>
        </r>
      </text>
    </comment>
    <comment ref="A52" authorId="0">
      <text>
        <r>
          <rPr>
            <b/>
            <sz val="9"/>
            <rFont val="Arial"/>
            <family val="0"/>
          </rPr>
          <t>Michel-Alexandre Cardin:</t>
        </r>
        <r>
          <rPr>
            <sz val="9"/>
            <rFont val="Arial"/>
            <family val="0"/>
          </rPr>
          <t xml:space="preserve">
This lattice calculate the present of cash flows at each time period for the system in its original state. It is necessary for the VARG curve analysis.</t>
        </r>
      </text>
    </comment>
    <comment ref="M52" authorId="0">
      <text>
        <r>
          <rPr>
            <b/>
            <sz val="9"/>
            <rFont val="Arial"/>
            <family val="0"/>
          </rPr>
          <t>Michel-Alexandre Cardin:</t>
        </r>
        <r>
          <rPr>
            <sz val="9"/>
            <rFont val="Arial"/>
            <family val="0"/>
          </rPr>
          <t xml:space="preserve">
Each cell in this structure calculates the net present value of cash flows of the system in its original state for all possible paths through the lattice up to t = 6. Each cell represents a NPV for a particular path. Double-click on the cell to see which path is analyzed.</t>
        </r>
      </text>
    </comment>
    <comment ref="L51" authorId="0">
      <text>
        <r>
          <rPr>
            <b/>
            <sz val="9"/>
            <rFont val="Arial"/>
            <family val="0"/>
          </rPr>
          <t>Michel-Alexandre Cardin:</t>
        </r>
        <r>
          <rPr>
            <sz val="9"/>
            <rFont val="Arial"/>
            <family val="0"/>
          </rPr>
          <t xml:space="preserve">
This is the probability of all paths in the row on the right.</t>
        </r>
      </text>
    </comment>
    <comment ref="K51" authorId="0">
      <text>
        <r>
          <rPr>
            <b/>
            <sz val="9"/>
            <rFont val="Arial"/>
            <family val="0"/>
          </rPr>
          <t>Michel-Alexandre Cardin:</t>
        </r>
        <r>
          <rPr>
            <sz val="9"/>
            <rFont val="Arial"/>
            <family val="0"/>
          </rPr>
          <t xml:space="preserve">
This is the total probability of all paths that have the same probability in the row on the right.</t>
        </r>
      </text>
    </comment>
    <comment ref="J51" authorId="0">
      <text>
        <r>
          <rPr>
            <b/>
            <sz val="9"/>
            <rFont val="Arial"/>
            <family val="0"/>
          </rPr>
          <t>Michel-Alexandre Cardin:</t>
        </r>
        <r>
          <rPr>
            <sz val="9"/>
            <rFont val="Arial"/>
            <family val="0"/>
          </rPr>
          <t xml:space="preserve">
This is the expected NPV arising for all paths with associated probability on the row on the right.</t>
        </r>
      </text>
    </comment>
    <comment ref="J59" authorId="0">
      <text>
        <r>
          <rPr>
            <b/>
            <sz val="9"/>
            <rFont val="Arial"/>
            <family val="0"/>
          </rPr>
          <t>Michel-Alexandre Cardin:</t>
        </r>
        <r>
          <rPr>
            <sz val="9"/>
            <rFont val="Arial"/>
            <family val="0"/>
          </rPr>
          <t xml:space="preserve">
This NPV should be the same as the one for the system in its initial state, using either the method of weighing cash flows by their probability in the lattice, or the dynamic programming approach without including flexibility.</t>
        </r>
      </text>
    </comment>
    <comment ref="J106" authorId="0">
      <text>
        <r>
          <rPr>
            <b/>
            <sz val="9"/>
            <rFont val="Arial"/>
            <family val="0"/>
          </rPr>
          <t>Michel-Alexandre Cardin:</t>
        </r>
        <r>
          <rPr>
            <sz val="9"/>
            <rFont val="Arial"/>
            <family val="0"/>
          </rPr>
          <t xml:space="preserve">
This is the expected NPV arising for all paths with associated probability on the row on the right.</t>
        </r>
      </text>
    </comment>
    <comment ref="K106" authorId="0">
      <text>
        <r>
          <rPr>
            <b/>
            <sz val="9"/>
            <rFont val="Arial"/>
            <family val="0"/>
          </rPr>
          <t>Michel-Alexandre Cardin:</t>
        </r>
        <r>
          <rPr>
            <sz val="9"/>
            <rFont val="Arial"/>
            <family val="0"/>
          </rPr>
          <t xml:space="preserve">
This is the total probability of all paths that have the same probability in the row on the right.</t>
        </r>
      </text>
    </comment>
    <comment ref="L106" authorId="0">
      <text>
        <r>
          <rPr>
            <b/>
            <sz val="9"/>
            <rFont val="Arial"/>
            <family val="0"/>
          </rPr>
          <t>Michel-Alexandre Cardin:</t>
        </r>
        <r>
          <rPr>
            <sz val="9"/>
            <rFont val="Arial"/>
            <family val="0"/>
          </rPr>
          <t xml:space="preserve">
This is the probability of all paths in the row on the right.</t>
        </r>
      </text>
    </comment>
    <comment ref="M107" authorId="0">
      <text>
        <r>
          <rPr>
            <b/>
            <sz val="9"/>
            <rFont val="Arial"/>
            <family val="0"/>
          </rPr>
          <t>Michel-Alexandre Cardin:</t>
        </r>
        <r>
          <rPr>
            <sz val="9"/>
            <rFont val="Arial"/>
            <family val="0"/>
          </rPr>
          <t xml:space="preserve">
Each cell in this structure calculates the net present value of cash flows of the flexible system for all possible paths through the lattice up to t = 6. Each cell represents a NPV for a particular path. Double-click on the cell to see which path is analyzed. When abandonment occurs - looking at the YES-NO lattice - the project is shutdown, and the PV cash flow of -$1M for one subsequent year ONLY is added to the rest of the cash flows in the path. This PV cash flow is in the lattice to the down-left of this structure. This is because shutting down operations is irreversible, and the $1M cost is incurred only once the year after the mine is shutdown.</t>
        </r>
      </text>
    </comment>
    <comment ref="A107" authorId="0">
      <text>
        <r>
          <rPr>
            <b/>
            <sz val="9"/>
            <rFont val="Arial"/>
            <family val="0"/>
          </rPr>
          <t>Michel-Alexandre Cardin:</t>
        </r>
        <r>
          <rPr>
            <sz val="9"/>
            <rFont val="Arial"/>
            <family val="0"/>
          </rPr>
          <t xml:space="preserve">
This lattice calculate the present of cash flows at each time period for the system in its original state. It is necessary for the VARG curve analysis.</t>
        </r>
      </text>
    </comment>
    <comment ref="J114" authorId="0">
      <text>
        <r>
          <rPr>
            <b/>
            <sz val="9"/>
            <rFont val="Arial"/>
            <family val="0"/>
          </rPr>
          <t>Michel-Alexandre Cardin:</t>
        </r>
        <r>
          <rPr>
            <sz val="9"/>
            <rFont val="Arial"/>
            <family val="0"/>
          </rPr>
          <t xml:space="preserve">
This NPV should be the same as the one for the flexible system using the dynamic programming approach.</t>
        </r>
      </text>
    </comment>
    <comment ref="K124" authorId="0">
      <text>
        <r>
          <rPr>
            <b/>
            <sz val="9"/>
            <rFont val="Arial"/>
            <family val="0"/>
          </rPr>
          <t>Michel-Alexandre Cardin:</t>
        </r>
        <r>
          <rPr>
            <sz val="9"/>
            <rFont val="Arial"/>
            <family val="0"/>
          </rPr>
          <t xml:space="preserve">
This is the probability of exercising the flexibility across all possible paths.</t>
        </r>
      </text>
    </comment>
    <comment ref="B116" authorId="0">
      <text>
        <r>
          <rPr>
            <b/>
            <sz val="9"/>
            <rFont val="Arial"/>
            <family val="0"/>
          </rPr>
          <t>Michel-Alexandre Cardin:</t>
        </r>
        <r>
          <rPr>
            <sz val="9"/>
            <rFont val="Arial"/>
            <family val="0"/>
          </rPr>
          <t xml:space="preserve">
This lattice shows the present value of cash flows of the abandoned system. It is used in the lattice up and to the right to evaluate the cash flows of each path for the flexible system.</t>
        </r>
      </text>
    </comment>
    <comment ref="M117" authorId="0">
      <text>
        <r>
          <rPr>
            <b/>
            <sz val="9"/>
            <rFont val="Arial"/>
            <family val="0"/>
          </rPr>
          <t>Michel-Alexandre Cardin:</t>
        </r>
        <r>
          <rPr>
            <sz val="9"/>
            <rFont val="Arial"/>
            <family val="0"/>
          </rPr>
          <t xml:space="preserve">
This structure shows the end state of each path. A YES means the mine was shutdown at some point, while a NO means the mine remained open for the entire project duration.s</t>
        </r>
      </text>
    </comment>
  </commentList>
</comments>
</file>

<file path=xl/comments3.xml><?xml version="1.0" encoding="utf-8"?>
<comments xmlns="http://schemas.openxmlformats.org/spreadsheetml/2006/main">
  <authors>
    <author>Michel-Alexandre Cardin</author>
  </authors>
  <commentList>
    <comment ref="G103" authorId="0">
      <text>
        <r>
          <rPr>
            <b/>
            <sz val="9"/>
            <rFont val="Arial"/>
            <family val="0"/>
          </rPr>
          <t>Michel-Alexandre Cardin:</t>
        </r>
        <r>
          <rPr>
            <sz val="9"/>
            <rFont val="Arial"/>
            <family val="0"/>
          </rPr>
          <t xml:space="preserve">
At the end of year 5, we choose the maximum expected present value between the expanded plant and the non-expand plant. Again, we discount the max value by one year to bring it back to present value at the end of year 5, and add the cash flows received for year 5. Notice that the cash flow in the current year is the one of the non-expanded (small) plant because in year 5 we did not know yet whether expansion would be beneficial, and the cash flows are those generated by the small plant. As you progress further back, the PV of cash flows generated by expansions are taken into account.</t>
        </r>
      </text>
    </comment>
    <comment ref="A79" authorId="0">
      <text>
        <r>
          <rPr>
            <b/>
            <sz val="9"/>
            <rFont val="Arial"/>
            <family val="0"/>
          </rPr>
          <t>Michel-Alexandre Cardin:</t>
        </r>
        <r>
          <rPr>
            <sz val="9"/>
            <rFont val="Arial"/>
            <family val="0"/>
          </rPr>
          <t xml:space="preserve">
This is the evaluation using the dynamic programming backtracking approach with NO flexibility at all. This is done to compare the final NPV obtained through this method with the NPV obtained with the method above.</t>
        </r>
      </text>
    </comment>
    <comment ref="A87" authorId="0">
      <text>
        <r>
          <rPr>
            <b/>
            <sz val="9"/>
            <rFont val="Arial"/>
            <family val="0"/>
          </rPr>
          <t>Michel-Alexandre Cardin:</t>
        </r>
        <r>
          <rPr>
            <sz val="9"/>
            <rFont val="Arial"/>
            <family val="0"/>
          </rPr>
          <t xml:space="preserve">
Undiscounted cash flows assuming the expanded plant at all times. The values will be used for comparison purposes in the tree below using the dynamic programming approach.</t>
        </r>
      </text>
    </comment>
    <comment ref="A103" authorId="0">
      <text>
        <r>
          <rPr>
            <b/>
            <sz val="9"/>
            <rFont val="Arial"/>
            <family val="0"/>
          </rPr>
          <t>Michel-Alexandre Cardin:</t>
        </r>
        <r>
          <rPr>
            <sz val="9"/>
            <rFont val="Arial"/>
            <family val="0"/>
          </rPr>
          <t xml:space="preserve">
This is the dynamic programming approach applied to assessing the NPV of the project with the flexibility to expand production when needed.</t>
        </r>
      </text>
    </comment>
    <comment ref="A95" authorId="0">
      <text>
        <r>
          <rPr>
            <b/>
            <sz val="9"/>
            <rFont val="Arial"/>
            <family val="0"/>
          </rPr>
          <t>Michel-Alexandre Cardin:</t>
        </r>
        <r>
          <rPr>
            <sz val="9"/>
            <rFont val="Arial"/>
            <family val="0"/>
          </rPr>
          <t xml:space="preserve">
This is the evaluation using the dynamic programming backtracking approach with the flexibility to expand production. It assumes the expansion occurs every year.</t>
        </r>
      </text>
    </comment>
    <comment ref="B39" authorId="0">
      <text>
        <r>
          <rPr>
            <b/>
            <sz val="9"/>
            <rFont val="Arial"/>
            <family val="0"/>
          </rPr>
          <t>Michel-Alexandre Cardin:</t>
        </r>
        <r>
          <rPr>
            <sz val="9"/>
            <rFont val="Arial"/>
            <family val="0"/>
          </rPr>
          <t xml:space="preserve">
There is no operation, and no investment cost considered in this example case at t = 0 so cash flow is zero.</t>
        </r>
      </text>
    </comment>
    <comment ref="B87" authorId="0">
      <text>
        <r>
          <rPr>
            <b/>
            <sz val="9"/>
            <rFont val="Arial"/>
            <family val="0"/>
          </rPr>
          <t>Michel-Alexandre Cardin:</t>
        </r>
        <r>
          <rPr>
            <sz val="9"/>
            <rFont val="Arial"/>
            <family val="0"/>
          </rPr>
          <t xml:space="preserve">
There is no operation, and no investment cost considered in this example case at t = 0 so cash flow is zero.</t>
        </r>
      </text>
    </comment>
    <comment ref="G108" authorId="0">
      <text>
        <r>
          <rPr>
            <b/>
            <sz val="9"/>
            <rFont val="Arial"/>
            <family val="0"/>
          </rPr>
          <t>Michel-Alexandre Cardin:</t>
        </r>
        <r>
          <rPr>
            <sz val="9"/>
            <rFont val="Arial"/>
            <family val="0"/>
          </rPr>
          <t xml:space="preserve">
Note this expected PV is the same as for the small plant. This is because if we do not expand, the cash flows this year (t = 5) and next year (t = 6) are exactly the same. This is not the case if we decide to expand; the current cash flow is that of the current year as if we did not expand yet.</t>
        </r>
      </text>
    </comment>
    <comment ref="A52" authorId="0">
      <text>
        <r>
          <rPr>
            <b/>
            <sz val="9"/>
            <rFont val="Arial"/>
            <family val="0"/>
          </rPr>
          <t>Michel-Alexandre Cardin:</t>
        </r>
        <r>
          <rPr>
            <sz val="9"/>
            <rFont val="Arial"/>
            <family val="0"/>
          </rPr>
          <t xml:space="preserve">
This lattice calculate the present of cash flows at each time period for the system in its original state. It is necessary for the VARG curve analysis.</t>
        </r>
      </text>
    </comment>
    <comment ref="J51" authorId="0">
      <text>
        <r>
          <rPr>
            <b/>
            <sz val="9"/>
            <rFont val="Arial"/>
            <family val="0"/>
          </rPr>
          <t>Michel-Alexandre Cardin:</t>
        </r>
        <r>
          <rPr>
            <sz val="9"/>
            <rFont val="Arial"/>
            <family val="0"/>
          </rPr>
          <t xml:space="preserve">
This is the expected NPV arising for all paths with associated probability on the row on the right.</t>
        </r>
      </text>
    </comment>
    <comment ref="K51" authorId="0">
      <text>
        <r>
          <rPr>
            <b/>
            <sz val="9"/>
            <rFont val="Arial"/>
            <family val="0"/>
          </rPr>
          <t>Michel-Alexandre Cardin:</t>
        </r>
        <r>
          <rPr>
            <sz val="9"/>
            <rFont val="Arial"/>
            <family val="0"/>
          </rPr>
          <t xml:space="preserve">
This is the total probability of all paths that have the same probability in the row on the right.</t>
        </r>
      </text>
    </comment>
    <comment ref="L51" authorId="0">
      <text>
        <r>
          <rPr>
            <b/>
            <sz val="9"/>
            <rFont val="Arial"/>
            <family val="0"/>
          </rPr>
          <t>Michel-Alexandre Cardin:</t>
        </r>
        <r>
          <rPr>
            <sz val="9"/>
            <rFont val="Arial"/>
            <family val="0"/>
          </rPr>
          <t xml:space="preserve">
This is the probability of all paths in the row on the right.</t>
        </r>
      </text>
    </comment>
    <comment ref="M52" authorId="0">
      <text>
        <r>
          <rPr>
            <b/>
            <sz val="9"/>
            <rFont val="Arial"/>
            <family val="0"/>
          </rPr>
          <t>Michel-Alexandre Cardin:</t>
        </r>
        <r>
          <rPr>
            <sz val="9"/>
            <rFont val="Arial"/>
            <family val="0"/>
          </rPr>
          <t xml:space="preserve">
Each cell in this structure calculates the net present value of cash flows of the system in its original state for all possible paths through the lattice up to t = 6. Each cell represents a NPV for a particular path. Double-click on the cell to see which path is analyzed.</t>
        </r>
      </text>
    </comment>
    <comment ref="J59" authorId="0">
      <text>
        <r>
          <rPr>
            <b/>
            <sz val="9"/>
            <rFont val="Arial"/>
            <family val="0"/>
          </rPr>
          <t>Michel-Alexandre Cardin:</t>
        </r>
        <r>
          <rPr>
            <sz val="9"/>
            <rFont val="Arial"/>
            <family val="0"/>
          </rPr>
          <t xml:space="preserve">
This NPV should be the same as the one for the system in its initial state, using either the method of weighing cash flows by their probability in the lattice, or the dynamic programming approach without including flexibility.</t>
        </r>
      </text>
    </comment>
    <comment ref="A119" authorId="0">
      <text>
        <r>
          <rPr>
            <b/>
            <sz val="9"/>
            <rFont val="Arial"/>
            <family val="0"/>
          </rPr>
          <t>Michel-Alexandre Cardin:</t>
        </r>
        <r>
          <rPr>
            <sz val="9"/>
            <rFont val="Arial"/>
            <family val="0"/>
          </rPr>
          <t xml:space="preserve">
This lattice calculate the present of cash flows at each time period for the system in its original state. It is necessary for the VARG curve analysis.</t>
        </r>
      </text>
    </comment>
    <comment ref="J118" authorId="0">
      <text>
        <r>
          <rPr>
            <b/>
            <sz val="9"/>
            <rFont val="Arial"/>
            <family val="0"/>
          </rPr>
          <t>Michel-Alexandre Cardin:</t>
        </r>
        <r>
          <rPr>
            <sz val="9"/>
            <rFont val="Arial"/>
            <family val="0"/>
          </rPr>
          <t xml:space="preserve">
This is the expected NPV arising for all paths with associated probability on the row on the right.</t>
        </r>
      </text>
    </comment>
    <comment ref="K118" authorId="0">
      <text>
        <r>
          <rPr>
            <b/>
            <sz val="9"/>
            <rFont val="Arial"/>
            <family val="0"/>
          </rPr>
          <t>Michel-Alexandre Cardin:</t>
        </r>
        <r>
          <rPr>
            <sz val="9"/>
            <rFont val="Arial"/>
            <family val="0"/>
          </rPr>
          <t xml:space="preserve">
This is the total probability of all paths that have the same probability in the row on the right.</t>
        </r>
      </text>
    </comment>
    <comment ref="L118" authorId="0">
      <text>
        <r>
          <rPr>
            <b/>
            <sz val="9"/>
            <rFont val="Arial"/>
            <family val="0"/>
          </rPr>
          <t>Michel-Alexandre Cardin:</t>
        </r>
        <r>
          <rPr>
            <sz val="9"/>
            <rFont val="Arial"/>
            <family val="0"/>
          </rPr>
          <t xml:space="preserve">
This is the probability of all paths in the row on the right.</t>
        </r>
      </text>
    </comment>
    <comment ref="M119" authorId="0">
      <text>
        <r>
          <rPr>
            <b/>
            <sz val="9"/>
            <rFont val="Arial"/>
            <family val="0"/>
          </rPr>
          <t>Michel-Alexandre Cardin:</t>
        </r>
        <r>
          <rPr>
            <sz val="9"/>
            <rFont val="Arial"/>
            <family val="0"/>
          </rPr>
          <t xml:space="preserve">
Each cell in this structure calculates the net present value of cash flows of the flexible system for all possible paths through the lattice up to t = 6. Each cell represents a NPV for a particular path. Double-click on the cell to see which path is analyzed. When expansion occurs - looking at the YES-NO lattice - the project is expanded and the PV cash flow corresponding to the expanded plant for all subsequent years is added to the rest of the cash flows in the path. This PV cash flow is in the lattice to the down-left of this structure. This is expanding is irreversible, and the plant produces more copper with associated revenues and cost until the lifetime is completed (at t = 6 here).</t>
        </r>
      </text>
    </comment>
    <comment ref="K136" authorId="0">
      <text>
        <r>
          <rPr>
            <b/>
            <sz val="9"/>
            <rFont val="Arial"/>
            <family val="0"/>
          </rPr>
          <t>Michel-Alexandre Cardin:</t>
        </r>
        <r>
          <rPr>
            <sz val="9"/>
            <rFont val="Arial"/>
            <family val="0"/>
          </rPr>
          <t xml:space="preserve">
This is the probability of exercising the flexibility across all possible paths.</t>
        </r>
      </text>
    </comment>
    <comment ref="B128" authorId="0">
      <text>
        <r>
          <rPr>
            <b/>
            <sz val="9"/>
            <rFont val="Arial"/>
            <family val="0"/>
          </rPr>
          <t>Michel-Alexandre Cardin:</t>
        </r>
        <r>
          <rPr>
            <sz val="9"/>
            <rFont val="Arial"/>
            <family val="0"/>
          </rPr>
          <t xml:space="preserve">
This lattice shows the present value of cash flows of the expanded system. It is used in the lattice up and to the right to evaluate the cash flows of each path for the flexible system.</t>
        </r>
      </text>
    </comment>
    <comment ref="M129" authorId="0">
      <text>
        <r>
          <rPr>
            <b/>
            <sz val="9"/>
            <rFont val="Arial"/>
            <family val="0"/>
          </rPr>
          <t>Michel-Alexandre Cardin:</t>
        </r>
        <r>
          <rPr>
            <sz val="9"/>
            <rFont val="Arial"/>
            <family val="0"/>
          </rPr>
          <t xml:space="preserve">
This structure shows the end state of each path. A YES means the mine was expanded at some point, while a NO means the mine remained small for the entire project duration.</t>
        </r>
      </text>
    </comment>
  </commentList>
</comments>
</file>

<file path=xl/sharedStrings.xml><?xml version="1.0" encoding="utf-8"?>
<sst xmlns="http://schemas.openxmlformats.org/spreadsheetml/2006/main" count="224" uniqueCount="77">
  <si>
    <t>t = 10</t>
  </si>
  <si>
    <t>Probabilities:</t>
  </si>
  <si>
    <t>Cumulative Prob</t>
  </si>
  <si>
    <t>Copper mine example</t>
  </si>
  <si>
    <t>Production (tons/yr):</t>
  </si>
  <si>
    <t>Discount rate:</t>
  </si>
  <si>
    <t>Fixed Cost:</t>
  </si>
  <si>
    <t>Price</t>
  </si>
  <si>
    <t>Starting price</t>
  </si>
  <si>
    <t xml:space="preserve">Probability </t>
  </si>
  <si>
    <t>Weighted</t>
  </si>
  <si>
    <t>Updated on 11/02/2009 by Michel-Alexandre Cardin (macardin@mit.edu)</t>
  </si>
  <si>
    <t>Probability</t>
  </si>
  <si>
    <t>Period</t>
  </si>
  <si>
    <t>PV Cash Flow:</t>
  </si>
  <si>
    <t>EPV</t>
  </si>
  <si>
    <t>P</t>
  </si>
  <si>
    <t>P(PATH)</t>
  </si>
  <si>
    <t>ENUMERATION OF PATHS WITHOUT CLOSING OPTION</t>
  </si>
  <si>
    <t>ENUMERATION OF PATHS (NPV POSSIBILITIES)</t>
  </si>
  <si>
    <t>EXECUTE OPTION FOR PATHS</t>
  </si>
  <si>
    <t>Total</t>
  </si>
  <si>
    <t>Cum. Prob.</t>
  </si>
  <si>
    <t>NPV (flexible)</t>
  </si>
  <si>
    <t>NPV (inflex.)</t>
  </si>
  <si>
    <t>IMPORTANT NPVs need to be sorted in ascending order every time a new price is entered. To do this, use Menu Data -&gt; Sort by selecting the "Probability" and "NPV (flexible)" columns, select "Ascending" order, and sort according to the "NPV (flexible)" column. Do this for the inflexible data as well.</t>
  </si>
  <si>
    <t>IMPORTANT: NPVs need to be sorted in ascending order every time a new price is entered. To do this, use Menu Data -&gt; Sort by selecting the "Probability" and "NPV (flexible)" columns, select "Ascending" order, and sort according to the "NPV (flexible)" column. Do this for the inflexible data as well.</t>
  </si>
  <si>
    <t>PV CASH FLOW LATTICE WITH EXPANDED PLANT</t>
  </si>
  <si>
    <t>PV CASH FLOW LATTICE WITH ABANDONED PLANT</t>
  </si>
  <si>
    <t>Updated on 11/23/2008 by Michel-Alexandre Cardin (macardin@mit.edu)</t>
  </si>
  <si>
    <t>Thanks to Paul Grogan (ptgrogan@mit.edu) for contribution to the VARG curve analysis</t>
  </si>
  <si>
    <t>(check current year)</t>
  </si>
  <si>
    <t>(check next year)</t>
  </si>
  <si>
    <t>Shut Down?</t>
  </si>
  <si>
    <t>OPTION ?</t>
  </si>
  <si>
    <t>WITH SHUTDOWN OPTION</t>
  </si>
  <si>
    <t>Marginal Cost per ton:</t>
  </si>
  <si>
    <t>NO FLEXIBILITY</t>
  </si>
  <si>
    <t>Dynamic programming</t>
  </si>
  <si>
    <t>approach</t>
  </si>
  <si>
    <t>NOT dynamic programming</t>
  </si>
  <si>
    <t>Value of (put) option</t>
  </si>
  <si>
    <t>to abandon</t>
  </si>
  <si>
    <t>ENPV over 6 years</t>
  </si>
  <si>
    <t>ENPV over 10 years</t>
  </si>
  <si>
    <t>ENPV (flexible)</t>
  </si>
  <si>
    <t>ENPV (inflexible)     -</t>
  </si>
  <si>
    <t>Value of (call) option</t>
  </si>
  <si>
    <t>to expand</t>
  </si>
  <si>
    <t>Cash Flow</t>
  </si>
  <si>
    <t>E [Cash Flow]</t>
  </si>
  <si>
    <t>PV( E[Cash Flow])</t>
  </si>
  <si>
    <t>ENPV (Cash Flow)</t>
  </si>
  <si>
    <t>ENPV(Cash Flow)</t>
  </si>
  <si>
    <t>Cash Flow:</t>
  </si>
  <si>
    <t>s</t>
  </si>
  <si>
    <t>v</t>
  </si>
  <si>
    <t>Excercise CALL</t>
  </si>
  <si>
    <t>SMALL PLANT</t>
  </si>
  <si>
    <t>EXPANDED PLANT</t>
  </si>
  <si>
    <t>WITH FLEXIBILITY TO EXPAND</t>
  </si>
  <si>
    <t>=&gt;</t>
  </si>
  <si>
    <r>
      <t>D</t>
    </r>
    <r>
      <rPr>
        <sz val="10"/>
        <rFont val="Arial"/>
        <family val="0"/>
      </rPr>
      <t>t (years)</t>
    </r>
  </si>
  <si>
    <t>Prob up</t>
  </si>
  <si>
    <t>Prob down</t>
  </si>
  <si>
    <t>Upside factor</t>
  </si>
  <si>
    <t>Downside factor</t>
  </si>
  <si>
    <t>t = 0</t>
  </si>
  <si>
    <t>t = 1</t>
  </si>
  <si>
    <t>t = 2</t>
  </si>
  <si>
    <t>t = 3</t>
  </si>
  <si>
    <t>t = 4</t>
  </si>
  <si>
    <t>t = 5</t>
  </si>
  <si>
    <t>t = 6</t>
  </si>
  <si>
    <t>t = 7</t>
  </si>
  <si>
    <t>t = 8</t>
  </si>
  <si>
    <t>t = 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</si>
</sst>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Red]0"/>
    <numFmt numFmtId="167" formatCode="#,##0;[Red]#,##0"/>
    <numFmt numFmtId="168" formatCode="#,##0.0;[Red]#,##0.0"/>
    <numFmt numFmtId="169" formatCode="#,##0.00;[Red]#,##0.00"/>
    <numFmt numFmtId="170" formatCode="#,##0.000;[Red]#,##0.000"/>
    <numFmt numFmtId="171" formatCode="#,##0.0000;[Red]#,##0.0000"/>
    <numFmt numFmtId="172" formatCode="#,##0.00000;[Red]#,##0.00000"/>
    <numFmt numFmtId="173" formatCode="#,##0.000000;[Red]#,##0.000000"/>
    <numFmt numFmtId="174" formatCode="#,##0.0000000;[Red]#,##0.0000000"/>
    <numFmt numFmtId="175" formatCode="#,##0.00000000;[Red]#,##0.00000000"/>
    <numFmt numFmtId="176" formatCode="&quot;$&quot;#,##0.00"/>
    <numFmt numFmtId="177" formatCode="0.0%"/>
    <numFmt numFmtId="178" formatCode="_(&quot;$&quot;* #,##0_);_(&quot;$&quot;* \(#,##0\);_(&quot;$&quot;* &quot;-&quot;??_);_(@_)"/>
    <numFmt numFmtId="179" formatCode="0.0000"/>
    <numFmt numFmtId="180" formatCode="_(* #,##0.000_);_(* \(#,##0.000\);_(* &quot;-&quot;???_);_(@_)"/>
    <numFmt numFmtId="181" formatCode="0.000%"/>
    <numFmt numFmtId="182" formatCode="&quot;$&quot;#,##0.000"/>
    <numFmt numFmtId="183" formatCode="&quot;$&quot;#,##0.0"/>
    <numFmt numFmtId="184" formatCode="&quot;$&quot;#,##0"/>
    <numFmt numFmtId="185" formatCode="&quot;$&quot;#,##0.0000"/>
    <numFmt numFmtId="186" formatCode="&quot;$&quot;#,##0.00000"/>
    <numFmt numFmtId="187" formatCode="&quot;$&quot;#,##0.00;[Red]&quot;$&quot;#,##0.00"/>
    <numFmt numFmtId="188" formatCode="&quot;$&quot;#,##0;[Red]&quot;$&quot;#,##0"/>
    <numFmt numFmtId="189" formatCode="&quot;$&quot;#,##0.0;[Red]&quot;$&quot;#,##0.0"/>
    <numFmt numFmtId="190" formatCode="0.00;[Red]0.00"/>
  </numFmts>
  <fonts count="21">
    <font>
      <sz val="10"/>
      <name val="Arial"/>
      <family val="0"/>
    </font>
    <font>
      <sz val="8"/>
      <name val="Arial"/>
      <family val="0"/>
    </font>
    <font>
      <b/>
      <sz val="10"/>
      <name val="Arial"/>
      <family val="0"/>
    </font>
    <font>
      <b/>
      <sz val="17"/>
      <name val="Arial"/>
      <family val="0"/>
    </font>
    <font>
      <b/>
      <sz val="14.5"/>
      <name val="Arial"/>
      <family val="0"/>
    </font>
    <font>
      <sz val="9"/>
      <name val="Arial"/>
      <family val="0"/>
    </font>
    <font>
      <b/>
      <sz val="9"/>
      <name val="Arial"/>
      <family val="0"/>
    </font>
    <font>
      <u val="single"/>
      <sz val="10"/>
      <color indexed="12"/>
      <name val="Arial"/>
      <family val="0"/>
    </font>
    <font>
      <u val="single"/>
      <sz val="10"/>
      <color indexed="61"/>
      <name val="Arial"/>
      <family val="0"/>
    </font>
    <font>
      <sz val="10"/>
      <name val="Symbol"/>
      <family val="0"/>
    </font>
    <font>
      <b/>
      <sz val="12"/>
      <name val="Arial"/>
      <family val="0"/>
    </font>
    <font>
      <b/>
      <sz val="11.75"/>
      <name val="Arial"/>
      <family val="0"/>
    </font>
    <font>
      <b/>
      <sz val="11"/>
      <color indexed="8"/>
      <name val="Calibri"/>
      <family val="2"/>
    </font>
    <font>
      <sz val="12"/>
      <name val="Arial"/>
      <family val="0"/>
    </font>
    <font>
      <b/>
      <sz val="10"/>
      <color indexed="8"/>
      <name val="Arial"/>
      <family val="0"/>
    </font>
    <font>
      <sz val="10"/>
      <name val="Verdana"/>
      <family val="0"/>
    </font>
    <font>
      <sz val="14.25"/>
      <name val="Arial"/>
      <family val="0"/>
    </font>
    <font>
      <b/>
      <sz val="11.25"/>
      <name val="Arial"/>
      <family val="0"/>
    </font>
    <font>
      <sz val="11.25"/>
      <name val="Verdana"/>
      <family val="0"/>
    </font>
    <font>
      <sz val="11.25"/>
      <name val="Arial"/>
      <family val="0"/>
    </font>
    <font>
      <b/>
      <sz val="8"/>
      <name val="Arial"/>
      <family val="2"/>
    </font>
  </fonts>
  <fills count="7">
    <fill>
      <patternFill/>
    </fill>
    <fill>
      <patternFill patternType="gray125"/>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48"/>
        <bgColor indexed="64"/>
      </patternFill>
    </fill>
    <fill>
      <patternFill patternType="solid">
        <fgColor indexed="4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horizontal="center"/>
    </xf>
    <xf numFmtId="2" fontId="0" fillId="0" borderId="0" xfId="0" applyNumberFormat="1" applyAlignment="1">
      <alignment/>
    </xf>
    <xf numFmtId="0" fontId="2" fillId="0" borderId="0" xfId="0" applyFont="1" applyAlignment="1">
      <alignment/>
    </xf>
    <xf numFmtId="165" fontId="0" fillId="0" borderId="0" xfId="0" applyNumberFormat="1" applyAlignment="1">
      <alignment/>
    </xf>
    <xf numFmtId="1" fontId="2" fillId="0" borderId="0" xfId="0" applyNumberFormat="1" applyFont="1" applyAlignment="1">
      <alignment horizontal="center"/>
    </xf>
    <xf numFmtId="1" fontId="0" fillId="0" borderId="0" xfId="0" applyNumberFormat="1" applyAlignment="1">
      <alignment/>
    </xf>
    <xf numFmtId="9" fontId="0" fillId="0" borderId="0" xfId="0" applyNumberFormat="1" applyAlignment="1">
      <alignment/>
    </xf>
    <xf numFmtId="0" fontId="0" fillId="0" borderId="0" xfId="0" applyAlignment="1">
      <alignment horizontal="right"/>
    </xf>
    <xf numFmtId="3" fontId="0" fillId="0" borderId="0" xfId="0" applyNumberFormat="1" applyAlignment="1">
      <alignment/>
    </xf>
    <xf numFmtId="167" fontId="0" fillId="0" borderId="0" xfId="0" applyNumberFormat="1" applyAlignment="1">
      <alignment/>
    </xf>
    <xf numFmtId="167" fontId="2" fillId="0" borderId="0" xfId="0" applyNumberFormat="1" applyFont="1" applyAlignment="1">
      <alignment/>
    </xf>
    <xf numFmtId="167" fontId="2" fillId="0" borderId="0" xfId="0" applyNumberFormat="1" applyFont="1" applyAlignment="1">
      <alignment horizontal="center"/>
    </xf>
    <xf numFmtId="167" fontId="0" fillId="0" borderId="1" xfId="0" applyNumberFormat="1" applyBorder="1" applyAlignment="1">
      <alignment/>
    </xf>
    <xf numFmtId="167" fontId="0" fillId="0" borderId="2" xfId="0" applyNumberFormat="1" applyBorder="1" applyAlignment="1">
      <alignment/>
    </xf>
    <xf numFmtId="167" fontId="0" fillId="0" borderId="3" xfId="0" applyNumberFormat="1" applyBorder="1" applyAlignment="1">
      <alignment/>
    </xf>
    <xf numFmtId="167" fontId="0" fillId="0" borderId="4" xfId="0" applyNumberFormat="1" applyBorder="1" applyAlignment="1">
      <alignment/>
    </xf>
    <xf numFmtId="167" fontId="0" fillId="0" borderId="0" xfId="0" applyNumberFormat="1" applyBorder="1" applyAlignment="1">
      <alignment/>
    </xf>
    <xf numFmtId="0" fontId="0" fillId="0" borderId="0" xfId="0" applyBorder="1" applyAlignment="1">
      <alignment/>
    </xf>
    <xf numFmtId="167" fontId="2" fillId="2" borderId="1" xfId="0" applyNumberFormat="1" applyFont="1" applyFill="1" applyBorder="1" applyAlignment="1">
      <alignment/>
    </xf>
    <xf numFmtId="167" fontId="2" fillId="2" borderId="0" xfId="0" applyNumberFormat="1" applyFont="1" applyFill="1" applyBorder="1" applyAlignment="1">
      <alignment/>
    </xf>
    <xf numFmtId="0" fontId="2" fillId="2" borderId="0" xfId="0" applyFont="1" applyFill="1" applyAlignment="1">
      <alignment/>
    </xf>
    <xf numFmtId="43" fontId="0" fillId="0" borderId="0" xfId="15" applyAlignment="1">
      <alignment/>
    </xf>
    <xf numFmtId="0" fontId="2" fillId="3" borderId="0" xfId="0" applyFont="1" applyFill="1" applyAlignment="1">
      <alignment/>
    </xf>
    <xf numFmtId="2" fontId="2" fillId="0" borderId="0" xfId="0" applyNumberFormat="1" applyFont="1" applyAlignment="1">
      <alignment/>
    </xf>
    <xf numFmtId="0" fontId="0" fillId="4" borderId="0" xfId="0" applyFill="1" applyAlignment="1">
      <alignment/>
    </xf>
    <xf numFmtId="0" fontId="0" fillId="0" borderId="0" xfId="0" applyFill="1" applyAlignment="1">
      <alignment/>
    </xf>
    <xf numFmtId="9" fontId="0" fillId="4" borderId="0" xfId="0" applyNumberFormat="1" applyFill="1" applyAlignment="1">
      <alignment/>
    </xf>
    <xf numFmtId="3" fontId="0" fillId="4" borderId="0" xfId="0" applyNumberFormat="1" applyFill="1" applyAlignment="1">
      <alignment/>
    </xf>
    <xf numFmtId="167" fontId="0" fillId="4" borderId="0" xfId="0" applyNumberFormat="1" applyFill="1" applyAlignment="1">
      <alignment/>
    </xf>
    <xf numFmtId="167" fontId="2" fillId="4" borderId="0" xfId="0" applyNumberFormat="1" applyFont="1" applyFill="1" applyAlignment="1">
      <alignment/>
    </xf>
    <xf numFmtId="167" fontId="0" fillId="4" borderId="0" xfId="0" applyNumberFormat="1" applyFont="1" applyFill="1" applyAlignment="1">
      <alignment/>
    </xf>
    <xf numFmtId="0" fontId="0" fillId="0" borderId="0" xfId="0" applyAlignment="1">
      <alignment horizontal="center"/>
    </xf>
    <xf numFmtId="0" fontId="0" fillId="5" borderId="0" xfId="0" applyFill="1" applyAlignment="1">
      <alignment horizontal="center"/>
    </xf>
    <xf numFmtId="167" fontId="0" fillId="6" borderId="0" xfId="0" applyNumberFormat="1" applyFill="1" applyAlignment="1">
      <alignment/>
    </xf>
    <xf numFmtId="0" fontId="0" fillId="6" borderId="0" xfId="0" applyFill="1" applyAlignment="1">
      <alignment/>
    </xf>
    <xf numFmtId="167" fontId="2" fillId="6" borderId="0" xfId="0" applyNumberFormat="1" applyFont="1" applyFill="1" applyBorder="1" applyAlignment="1">
      <alignment/>
    </xf>
    <xf numFmtId="167" fontId="0" fillId="6" borderId="0" xfId="0" applyNumberFormat="1" applyFont="1" applyFill="1" applyAlignment="1">
      <alignment/>
    </xf>
    <xf numFmtId="167" fontId="0" fillId="0" borderId="0" xfId="0" applyNumberFormat="1" applyFont="1" applyAlignment="1">
      <alignment/>
    </xf>
    <xf numFmtId="167" fontId="0" fillId="0" borderId="0" xfId="0" applyNumberFormat="1" applyFont="1" applyAlignment="1">
      <alignment horizontal="center"/>
    </xf>
    <xf numFmtId="167" fontId="0" fillId="0" borderId="2" xfId="0" applyNumberFormat="1" applyFont="1" applyBorder="1" applyAlignment="1">
      <alignment horizontal="center"/>
    </xf>
    <xf numFmtId="167" fontId="0" fillId="0" borderId="3" xfId="0" applyNumberFormat="1" applyFont="1" applyBorder="1" applyAlignment="1">
      <alignment horizontal="center"/>
    </xf>
    <xf numFmtId="167" fontId="0" fillId="0" borderId="4" xfId="0" applyNumberFormat="1" applyFont="1" applyBorder="1" applyAlignment="1">
      <alignment horizontal="center"/>
    </xf>
    <xf numFmtId="167" fontId="0" fillId="0" borderId="0" xfId="0" applyNumberFormat="1" applyFill="1" applyBorder="1" applyAlignment="1">
      <alignment/>
    </xf>
    <xf numFmtId="0" fontId="2" fillId="0" borderId="0" xfId="0" applyFont="1" applyFill="1" applyAlignment="1">
      <alignment/>
    </xf>
    <xf numFmtId="167" fontId="0" fillId="0" borderId="0" xfId="0" applyNumberFormat="1" applyFill="1" applyAlignment="1">
      <alignment/>
    </xf>
    <xf numFmtId="0" fontId="2" fillId="0" borderId="0" xfId="0" applyFont="1" applyAlignment="1">
      <alignment horizontal="left"/>
    </xf>
    <xf numFmtId="167" fontId="2" fillId="0" borderId="5" xfId="0" applyNumberFormat="1" applyFont="1" applyFill="1" applyBorder="1" applyAlignment="1">
      <alignment/>
    </xf>
    <xf numFmtId="167" fontId="2" fillId="0" borderId="5" xfId="0" applyNumberFormat="1" applyFont="1" applyBorder="1" applyAlignment="1">
      <alignment/>
    </xf>
    <xf numFmtId="0" fontId="0" fillId="0" borderId="0" xfId="0" applyAlignment="1" quotePrefix="1">
      <alignment horizontal="center"/>
    </xf>
    <xf numFmtId="0" fontId="9" fillId="0" borderId="0" xfId="0" applyFont="1" applyAlignment="1">
      <alignment horizontal="center"/>
    </xf>
    <xf numFmtId="9" fontId="0" fillId="0" borderId="0" xfId="0" applyNumberFormat="1" applyAlignment="1">
      <alignment horizontal="center"/>
    </xf>
    <xf numFmtId="170" fontId="0" fillId="0" borderId="0" xfId="0" applyNumberFormat="1" applyFont="1" applyAlignment="1">
      <alignment/>
    </xf>
    <xf numFmtId="170" fontId="0" fillId="0" borderId="0" xfId="0" applyNumberFormat="1" applyAlignment="1">
      <alignment/>
    </xf>
    <xf numFmtId="0" fontId="0" fillId="0" borderId="0" xfId="0" applyAlignment="1">
      <alignment/>
    </xf>
    <xf numFmtId="2" fontId="12" fillId="0" borderId="0" xfId="0" applyNumberFormat="1" applyFont="1" applyBorder="1" applyAlignment="1">
      <alignment/>
    </xf>
    <xf numFmtId="178" fontId="0" fillId="0" borderId="0" xfId="0" applyNumberFormat="1" applyAlignment="1">
      <alignment/>
    </xf>
    <xf numFmtId="179" fontId="0" fillId="0" borderId="0" xfId="0" applyNumberFormat="1" applyAlignment="1">
      <alignment/>
    </xf>
    <xf numFmtId="0" fontId="14" fillId="0" borderId="0" xfId="0" applyFont="1" applyAlignment="1">
      <alignment horizontal="center"/>
    </xf>
    <xf numFmtId="178" fontId="14" fillId="0" borderId="1" xfId="0" applyNumberFormat="1" applyFont="1" applyBorder="1" applyAlignment="1">
      <alignment/>
    </xf>
    <xf numFmtId="179" fontId="14" fillId="0" borderId="1" xfId="0" applyNumberFormat="1" applyFont="1" applyBorder="1" applyAlignment="1">
      <alignment/>
    </xf>
    <xf numFmtId="43" fontId="0" fillId="0" borderId="0" xfId="0" applyNumberFormat="1" applyAlignment="1">
      <alignment/>
    </xf>
    <xf numFmtId="177" fontId="0" fillId="0" borderId="0" xfId="0" applyNumberFormat="1" applyAlignment="1">
      <alignment/>
    </xf>
    <xf numFmtId="188" fontId="0" fillId="0" borderId="0" xfId="0" applyNumberFormat="1" applyAlignment="1">
      <alignment/>
    </xf>
    <xf numFmtId="0" fontId="0" fillId="0" borderId="0" xfId="0" applyAlignment="1" quotePrefix="1">
      <alignment/>
    </xf>
    <xf numFmtId="170" fontId="2" fillId="0" borderId="0" xfId="0" applyNumberFormat="1" applyFont="1" applyAlignment="1">
      <alignment/>
    </xf>
    <xf numFmtId="167" fontId="0" fillId="0" borderId="0" xfId="0" applyNumberFormat="1" applyFont="1" applyBorder="1" applyAlignment="1">
      <alignment/>
    </xf>
    <xf numFmtId="178" fontId="14" fillId="0" borderId="0" xfId="0" applyNumberFormat="1" applyFont="1" applyBorder="1" applyAlignment="1">
      <alignment/>
    </xf>
    <xf numFmtId="9" fontId="0" fillId="4" borderId="0" xfId="0" applyNumberFormat="1" applyFill="1" applyAlignment="1">
      <alignment horizontal="center"/>
    </xf>
    <xf numFmtId="0" fontId="0" fillId="4" borderId="0" xfId="0" applyFill="1" applyAlignment="1">
      <alignment horizontal="center"/>
    </xf>
    <xf numFmtId="0" fontId="14" fillId="0" borderId="0" xfId="0" applyFont="1" applyAlignment="1">
      <alignment horizontal="left"/>
    </xf>
    <xf numFmtId="188" fontId="14" fillId="0" borderId="0" xfId="0" applyNumberFormat="1" applyFont="1" applyAlignment="1">
      <alignment horizontal="left" vertical="center"/>
    </xf>
    <xf numFmtId="0" fontId="1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FF9900"/>
        </patternFill>
      </fill>
      <border/>
    </dxf>
    <dxf>
      <font>
        <b/>
        <i val="0"/>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Probability Density Function</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'Put option ON project - student'!$H$8:$H$14</c:f>
              <c:numCache/>
            </c:numRef>
          </c:cat>
          <c:val>
            <c:numRef>
              <c:f>'Put option ON project - student'!$H$21:$H$27</c:f>
              <c:numCache/>
            </c:numRef>
          </c:val>
          <c:smooth val="0"/>
        </c:ser>
        <c:marker val="1"/>
        <c:axId val="40735863"/>
        <c:axId val="31078448"/>
      </c:lineChart>
      <c:catAx>
        <c:axId val="40735863"/>
        <c:scaling>
          <c:orientation val="minMax"/>
        </c:scaling>
        <c:axPos val="b"/>
        <c:title>
          <c:tx>
            <c:rich>
              <a:bodyPr vert="horz" rot="0" anchor="ctr"/>
              <a:lstStyle/>
              <a:p>
                <a:pPr algn="ctr">
                  <a:defRPr/>
                </a:pPr>
                <a:r>
                  <a:rPr lang="en-US" cap="none" sz="1175" b="1" i="0" u="none" baseline="0">
                    <a:latin typeface="Arial"/>
                    <a:ea typeface="Arial"/>
                    <a:cs typeface="Arial"/>
                  </a:rPr>
                  <a:t>Price per ton ($)</a:t>
                </a:r>
              </a:p>
            </c:rich>
          </c:tx>
          <c:layout/>
          <c:overlay val="0"/>
          <c:spPr>
            <a:noFill/>
            <a:ln>
              <a:noFill/>
            </a:ln>
          </c:spPr>
        </c:title>
        <c:delete val="0"/>
        <c:numFmt formatCode="0;[Red]0" sourceLinked="0"/>
        <c:majorTickMark val="out"/>
        <c:minorTickMark val="none"/>
        <c:tickLblPos val="nextTo"/>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sz="1175" b="1" i="0" u="none" baseline="0">
                    <a:latin typeface="Arial"/>
                    <a:ea typeface="Arial"/>
                    <a:cs typeface="Arial"/>
                  </a:rPr>
                  <a:t>Probability</a:t>
                </a:r>
              </a:p>
            </c:rich>
          </c:tx>
          <c:layout/>
          <c:overlay val="0"/>
          <c:spPr>
            <a:noFill/>
            <a:ln>
              <a:noFill/>
            </a:ln>
          </c:spPr>
        </c:title>
        <c:majorGridlines/>
        <c:delete val="0"/>
        <c:numFmt formatCode="0.0%" sourceLinked="0"/>
        <c:majorTickMark val="out"/>
        <c:minorTickMark val="none"/>
        <c:tickLblPos val="nextTo"/>
        <c:crossAx val="4073586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Probability Density Function</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'Put option ON project - sln'!$H$11:$H$17</c:f>
              <c:numCache/>
            </c:numRef>
          </c:cat>
          <c:val>
            <c:numRef>
              <c:f>'Put option ON project - sln'!$H$24:$H$30</c:f>
              <c:numCache/>
            </c:numRef>
          </c:val>
          <c:smooth val="0"/>
        </c:ser>
        <c:marker val="1"/>
        <c:axId val="11270577"/>
        <c:axId val="34326330"/>
      </c:lineChart>
      <c:catAx>
        <c:axId val="11270577"/>
        <c:scaling>
          <c:orientation val="minMax"/>
        </c:scaling>
        <c:axPos val="b"/>
        <c:title>
          <c:tx>
            <c:rich>
              <a:bodyPr vert="horz" rot="0" anchor="ctr"/>
              <a:lstStyle/>
              <a:p>
                <a:pPr algn="ctr">
                  <a:defRPr/>
                </a:pPr>
                <a:r>
                  <a:rPr lang="en-US" cap="none" sz="1175" b="1" i="0" u="none" baseline="0">
                    <a:latin typeface="Arial"/>
                    <a:ea typeface="Arial"/>
                    <a:cs typeface="Arial"/>
                  </a:rPr>
                  <a:t>Price per ton ($)</a:t>
                </a:r>
              </a:p>
            </c:rich>
          </c:tx>
          <c:layout/>
          <c:overlay val="0"/>
          <c:spPr>
            <a:noFill/>
            <a:ln>
              <a:noFill/>
            </a:ln>
          </c:spPr>
        </c:title>
        <c:delete val="0"/>
        <c:numFmt formatCode="0;[Red]0" sourceLinked="0"/>
        <c:majorTickMark val="out"/>
        <c:minorTickMark val="none"/>
        <c:tickLblPos val="nextTo"/>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sz="1175" b="1" i="0" u="none" baseline="0">
                    <a:latin typeface="Arial"/>
                    <a:ea typeface="Arial"/>
                    <a:cs typeface="Arial"/>
                  </a:rPr>
                  <a:t>Probability</a:t>
                </a:r>
              </a:p>
            </c:rich>
          </c:tx>
          <c:layout/>
          <c:overlay val="0"/>
          <c:spPr>
            <a:noFill/>
            <a:ln>
              <a:noFill/>
            </a:ln>
          </c:spPr>
        </c:title>
        <c:majorGridlines/>
        <c:delete val="0"/>
        <c:numFmt formatCode="0.0%" sourceLinked="0"/>
        <c:majorTickMark val="out"/>
        <c:minorTickMark val="none"/>
        <c:tickLblPos val="nextTo"/>
        <c:crossAx val="112705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VARG curves - Abandonment option</a:t>
            </a:r>
          </a:p>
        </c:rich>
      </c:tx>
      <c:layout/>
      <c:spPr>
        <a:noFill/>
        <a:ln>
          <a:noFill/>
        </a:ln>
      </c:spPr>
    </c:title>
    <c:plotArea>
      <c:layout/>
      <c:scatterChart>
        <c:scatterStyle val="smooth"/>
        <c:varyColors val="0"/>
        <c:ser>
          <c:idx val="0"/>
          <c:order val="0"/>
          <c:tx>
            <c:v>Flexible</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'Put option ON project - sln'!$K$128:$K$191</c:f>
              <c:numCache/>
            </c:numRef>
          </c:xVal>
          <c:yVal>
            <c:numRef>
              <c:f>'Put option ON project - sln'!$L$128:$L$191</c:f>
              <c:numCache/>
            </c:numRef>
          </c:yVal>
          <c:smooth val="1"/>
        </c:ser>
        <c:ser>
          <c:idx val="1"/>
          <c:order val="1"/>
          <c:tx>
            <c:v>Inflexible</c:v>
          </c:tx>
          <c:spPr>
            <a:ln w="381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'Put option ON project - sln'!$O$128:$O$191</c:f>
              <c:numCache/>
            </c:numRef>
          </c:xVal>
          <c:yVal>
            <c:numRef>
              <c:f>'Put option ON project - sln'!$P$128:$P$191</c:f>
              <c:numCache/>
            </c:numRef>
          </c:yVal>
          <c:smooth val="1"/>
        </c:ser>
        <c:axId val="40501515"/>
        <c:axId val="28969316"/>
      </c:scatterChart>
      <c:valAx>
        <c:axId val="40501515"/>
        <c:scaling>
          <c:orientation val="minMax"/>
        </c:scaling>
        <c:axPos val="b"/>
        <c:title>
          <c:tx>
            <c:rich>
              <a:bodyPr vert="horz" rot="0" anchor="ctr"/>
              <a:lstStyle/>
              <a:p>
                <a:pPr algn="ctr">
                  <a:defRPr/>
                </a:pPr>
                <a:r>
                  <a:rPr lang="en-US" cap="none" sz="1000" b="1" i="0" u="none" baseline="0">
                    <a:latin typeface="Arial"/>
                    <a:ea typeface="Arial"/>
                    <a:cs typeface="Arial"/>
                  </a:rPr>
                  <a:t>NPV ($)</a:t>
                </a:r>
              </a:p>
            </c:rich>
          </c:tx>
          <c:layout/>
          <c:overlay val="0"/>
          <c:spPr>
            <a:noFill/>
            <a:ln>
              <a:noFill/>
            </a:ln>
          </c:spPr>
        </c:title>
        <c:delete val="0"/>
        <c:numFmt formatCode="&quot;$&quot;#,##0.0;[Red]&quot;$&quot;#,##0.0" sourceLinked="0"/>
        <c:majorTickMark val="out"/>
        <c:minorTickMark val="none"/>
        <c:tickLblPos val="nextTo"/>
        <c:txPr>
          <a:bodyPr/>
          <a:lstStyle/>
          <a:p>
            <a:pPr>
              <a:defRPr lang="en-US" cap="none" sz="1000" b="0" i="0" u="none" baseline="0">
                <a:latin typeface="Arial"/>
                <a:ea typeface="Arial"/>
                <a:cs typeface="Arial"/>
              </a:defRPr>
            </a:pPr>
          </a:p>
        </c:txPr>
        <c:crossAx val="28969316"/>
        <c:crosses val="autoZero"/>
        <c:crossBetween val="midCat"/>
        <c:dispUnits>
          <c:builtInUnit val="millions"/>
          <c:dispUnitsLbl>
            <c:layout/>
            <c:spPr>
              <a:noFill/>
              <a:ln>
                <a:noFill/>
              </a:ln>
            </c:spPr>
            <c:txPr>
              <a:bodyPr vert="horz" rot="-5400000"/>
              <a:lstStyle/>
              <a:p>
                <a:pPr>
                  <a:defRPr lang="en-US" cap="none" b="1" u="none" baseline="0"/>
                </a:pPr>
              </a:p>
            </c:txPr>
          </c:dispUnitsLbl>
        </c:dispUnits>
      </c:valAx>
      <c:valAx>
        <c:axId val="28969316"/>
        <c:scaling>
          <c:orientation val="minMax"/>
          <c:max val="1"/>
        </c:scaling>
        <c:axPos val="l"/>
        <c:title>
          <c:tx>
            <c:rich>
              <a:bodyPr vert="horz" rot="-5400000" anchor="ctr"/>
              <a:lstStyle/>
              <a:p>
                <a:pPr algn="ctr">
                  <a:defRPr/>
                </a:pPr>
                <a:r>
                  <a:rPr lang="en-US" cap="none" sz="1000" b="1" i="0" u="none" baseline="0">
                    <a:latin typeface="Arial"/>
                    <a:ea typeface="Arial"/>
                    <a:cs typeface="Arial"/>
                  </a:rPr>
                  <a:t>Cumulative 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01515"/>
        <c:crosses val="autoZero"/>
        <c:crossBetween val="midCat"/>
        <c:dispUnits/>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Probability Density Function</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'Call option IN project - sln'!$H$11:$H$17</c:f>
              <c:numCache/>
            </c:numRef>
          </c:cat>
          <c:val>
            <c:numRef>
              <c:f>'Call option IN project - sln'!$H$24:$H$30</c:f>
              <c:numCache/>
            </c:numRef>
          </c:val>
          <c:smooth val="0"/>
        </c:ser>
        <c:marker val="1"/>
        <c:axId val="59397253"/>
        <c:axId val="64813230"/>
      </c:lineChart>
      <c:catAx>
        <c:axId val="59397253"/>
        <c:scaling>
          <c:orientation val="minMax"/>
        </c:scaling>
        <c:axPos val="b"/>
        <c:title>
          <c:tx>
            <c:rich>
              <a:bodyPr vert="horz" rot="0" anchor="ctr"/>
              <a:lstStyle/>
              <a:p>
                <a:pPr algn="ctr">
                  <a:defRPr/>
                </a:pPr>
                <a:r>
                  <a:rPr lang="en-US" cap="none" sz="1450" b="1" i="0" u="none" baseline="0">
                    <a:latin typeface="Arial"/>
                    <a:ea typeface="Arial"/>
                    <a:cs typeface="Arial"/>
                  </a:rPr>
                  <a:t>Price per ton ($)</a:t>
                </a:r>
              </a:p>
            </c:rich>
          </c:tx>
          <c:layout/>
          <c:overlay val="0"/>
          <c:spPr>
            <a:noFill/>
            <a:ln>
              <a:noFill/>
            </a:ln>
          </c:spPr>
        </c:title>
        <c:delete val="0"/>
        <c:numFmt formatCode="0;[Red]0" sourceLinked="0"/>
        <c:majorTickMark val="out"/>
        <c:minorTickMark val="none"/>
        <c:tickLblPos val="nextTo"/>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sz="1450" b="1" i="0" u="none" baseline="0">
                    <a:latin typeface="Arial"/>
                    <a:ea typeface="Arial"/>
                    <a:cs typeface="Arial"/>
                  </a:rPr>
                  <a:t>Probability</a:t>
                </a:r>
              </a:p>
            </c:rich>
          </c:tx>
          <c:layout/>
          <c:overlay val="0"/>
          <c:spPr>
            <a:noFill/>
            <a:ln>
              <a:noFill/>
            </a:ln>
          </c:spPr>
        </c:title>
        <c:majorGridlines/>
        <c:delete val="0"/>
        <c:numFmt formatCode="0.0%" sourceLinked="0"/>
        <c:majorTickMark val="out"/>
        <c:minorTickMark val="none"/>
        <c:tickLblPos val="nextTo"/>
        <c:crossAx val="5939725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VARG curves - Expansion option</a:t>
            </a:r>
          </a:p>
        </c:rich>
      </c:tx>
      <c:layout/>
      <c:spPr>
        <a:noFill/>
        <a:ln>
          <a:noFill/>
        </a:ln>
      </c:spPr>
    </c:title>
    <c:plotArea>
      <c:layout/>
      <c:scatterChart>
        <c:scatterStyle val="smooth"/>
        <c:varyColors val="0"/>
        <c:ser>
          <c:idx val="0"/>
          <c:order val="0"/>
          <c:tx>
            <c:v>Flexible</c:v>
          </c:tx>
          <c:spPr>
            <a:ln w="381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'Call option IN project - sln'!$K$140:$K$203</c:f>
              <c:numCache/>
            </c:numRef>
          </c:xVal>
          <c:yVal>
            <c:numRef>
              <c:f>'Call option IN project - sln'!$L$140:$L$203</c:f>
              <c:numCache/>
            </c:numRef>
          </c:yVal>
          <c:smooth val="1"/>
        </c:ser>
        <c:ser>
          <c:idx val="1"/>
          <c:order val="1"/>
          <c:tx>
            <c:v>Inflexible</c:v>
          </c:tx>
          <c:spPr>
            <a:ln w="381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'Call option IN project - sln'!$O$140:$O$203</c:f>
              <c:numCache/>
            </c:numRef>
          </c:xVal>
          <c:yVal>
            <c:numRef>
              <c:f>'Call option IN project - sln'!$P$140:$P$203</c:f>
              <c:numCache/>
            </c:numRef>
          </c:yVal>
          <c:smooth val="1"/>
        </c:ser>
        <c:axId val="46448159"/>
        <c:axId val="15380248"/>
      </c:scatterChart>
      <c:valAx>
        <c:axId val="46448159"/>
        <c:scaling>
          <c:orientation val="minMax"/>
        </c:scaling>
        <c:axPos val="b"/>
        <c:title>
          <c:tx>
            <c:rich>
              <a:bodyPr vert="horz" rot="0" anchor="ctr"/>
              <a:lstStyle/>
              <a:p>
                <a:pPr algn="ctr">
                  <a:defRPr/>
                </a:pPr>
                <a:r>
                  <a:rPr lang="en-US" cap="none" sz="1125" b="1" i="0" u="none" baseline="0">
                    <a:latin typeface="Arial"/>
                    <a:ea typeface="Arial"/>
                    <a:cs typeface="Arial"/>
                  </a:rPr>
                  <a:t>NPV ($)</a:t>
                </a:r>
              </a:p>
            </c:rich>
          </c:tx>
          <c:layout/>
          <c:overlay val="0"/>
          <c:spPr>
            <a:noFill/>
            <a:ln>
              <a:noFill/>
            </a:ln>
          </c:spPr>
        </c:title>
        <c:delete val="0"/>
        <c:numFmt formatCode="&quot;$&quot;#,##0.0;[Red]&quot;$&quot;#,##0.0" sourceLinked="0"/>
        <c:majorTickMark val="out"/>
        <c:minorTickMark val="none"/>
        <c:tickLblPos val="nextTo"/>
        <c:txPr>
          <a:bodyPr/>
          <a:lstStyle/>
          <a:p>
            <a:pPr>
              <a:defRPr lang="en-US" cap="none" sz="1125" b="0" i="0" u="none" baseline="0">
                <a:latin typeface="Arial"/>
                <a:ea typeface="Arial"/>
                <a:cs typeface="Arial"/>
              </a:defRPr>
            </a:pPr>
          </a:p>
        </c:txPr>
        <c:crossAx val="15380248"/>
        <c:crosses val="autoZero"/>
        <c:crossBetween val="midCat"/>
        <c:dispUnits>
          <c:builtInUnit val="millions"/>
          <c:dispUnitsLbl>
            <c:layout/>
            <c:spPr>
              <a:noFill/>
              <a:ln>
                <a:noFill/>
              </a:ln>
            </c:spPr>
            <c:txPr>
              <a:bodyPr vert="horz" rot="-5400000"/>
              <a:lstStyle/>
              <a:p>
                <a:pPr>
                  <a:defRPr lang="en-US" cap="none" b="1" u="none" baseline="0"/>
                </a:pPr>
              </a:p>
            </c:txPr>
          </c:dispUnitsLbl>
        </c:dispUnits>
      </c:valAx>
      <c:valAx>
        <c:axId val="15380248"/>
        <c:scaling>
          <c:orientation val="minMax"/>
          <c:max val="1"/>
        </c:scaling>
        <c:axPos val="l"/>
        <c:title>
          <c:tx>
            <c:rich>
              <a:bodyPr vert="horz" rot="-5400000" anchor="ctr"/>
              <a:lstStyle/>
              <a:p>
                <a:pPr algn="ctr">
                  <a:defRPr/>
                </a:pPr>
                <a:r>
                  <a:rPr lang="en-US" cap="none" sz="1125" b="1" i="0" u="none" baseline="0">
                    <a:latin typeface="Arial"/>
                    <a:ea typeface="Arial"/>
                    <a:cs typeface="Arial"/>
                  </a:rPr>
                  <a:t>Cumulative Probability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6448159"/>
        <c:crosses val="autoZero"/>
        <c:crossBetween val="midCat"/>
        <c:dispUnits/>
      </c:valAx>
      <c:spPr>
        <a:noFill/>
        <a:ln w="12700">
          <a:solidFill>
            <a:srgbClr val="808080"/>
          </a:solidFill>
        </a:ln>
      </c:spPr>
    </c:plotArea>
    <c:legend>
      <c:legendPos val="b"/>
      <c:layout/>
      <c:overlay val="0"/>
      <c:spPr>
        <a:ln w="3175">
          <a:noFill/>
        </a:ln>
      </c:spPr>
      <c:txPr>
        <a:bodyPr vert="horz" rot="0"/>
        <a:lstStyle/>
        <a:p>
          <a:pPr>
            <a:defRPr lang="en-US" cap="none" sz="1125"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24</xdr:row>
      <xdr:rowOff>0</xdr:rowOff>
    </xdr:from>
    <xdr:to>
      <xdr:col>21</xdr:col>
      <xdr:colOff>104775</xdr:colOff>
      <xdr:row>49</xdr:row>
      <xdr:rowOff>0</xdr:rowOff>
    </xdr:to>
    <xdr:graphicFrame>
      <xdr:nvGraphicFramePr>
        <xdr:cNvPr id="1" name="Chart 18"/>
        <xdr:cNvGraphicFramePr/>
      </xdr:nvGraphicFramePr>
      <xdr:xfrm>
        <a:off x="9372600" y="3886200"/>
        <a:ext cx="4972050"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19</xdr:row>
      <xdr:rowOff>9525</xdr:rowOff>
    </xdr:from>
    <xdr:to>
      <xdr:col>19</xdr:col>
      <xdr:colOff>723900</xdr:colOff>
      <xdr:row>44</xdr:row>
      <xdr:rowOff>0</xdr:rowOff>
    </xdr:to>
    <xdr:graphicFrame>
      <xdr:nvGraphicFramePr>
        <xdr:cNvPr id="1" name="Shape 1"/>
        <xdr:cNvGraphicFramePr/>
      </xdr:nvGraphicFramePr>
      <xdr:xfrm>
        <a:off x="10029825" y="3086100"/>
        <a:ext cx="4933950" cy="4038600"/>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89</xdr:row>
      <xdr:rowOff>66675</xdr:rowOff>
    </xdr:from>
    <xdr:to>
      <xdr:col>12</xdr:col>
      <xdr:colOff>609600</xdr:colOff>
      <xdr:row>103</xdr:row>
      <xdr:rowOff>133350</xdr:rowOff>
    </xdr:to>
    <xdr:sp>
      <xdr:nvSpPr>
        <xdr:cNvPr id="2" name="Shape 4"/>
        <xdr:cNvSpPr txBox="1">
          <a:spLocks noChangeArrowheads="1"/>
        </xdr:cNvSpPr>
      </xdr:nvSpPr>
      <xdr:spPr>
        <a:xfrm>
          <a:off x="6172200" y="14478000"/>
          <a:ext cx="3476625"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This lattice shows the best decision if you were to make the decision to abandon at the end of a particular period t, considering expectations of what is coming later on. For example, at t = 0 with price at $2,000, the best decision is to keep the mine open because you increase the ENPV by $1,161,270 in doing so. If you decided to report the decision at t = 1, and observed that price went down in the first period, then you would be better off abandoning, considering what will occur afterwards, as shown by "YES" in first down state. You can test the consistency of the lattice by inputting an initial price of $1,810, which corresponds to the current price at t = 1 in the down state if the initial price is $2,000. You can see that the decision is "YES" at t = 0, consistent with the decision you would made at t = 1 if price went down to $1,810.</a:t>
          </a:r>
        </a:p>
      </xdr:txBody>
    </xdr:sp>
    <xdr:clientData/>
  </xdr:twoCellAnchor>
  <xdr:twoCellAnchor>
    <xdr:from>
      <xdr:col>3</xdr:col>
      <xdr:colOff>9525</xdr:colOff>
      <xdr:row>127</xdr:row>
      <xdr:rowOff>9525</xdr:rowOff>
    </xdr:from>
    <xdr:to>
      <xdr:col>6</xdr:col>
      <xdr:colOff>647700</xdr:colOff>
      <xdr:row>131</xdr:row>
      <xdr:rowOff>66675</xdr:rowOff>
    </xdr:to>
    <xdr:sp>
      <xdr:nvSpPr>
        <xdr:cNvPr id="3" name="Shape 5"/>
        <xdr:cNvSpPr txBox="1">
          <a:spLocks noChangeArrowheads="1"/>
        </xdr:cNvSpPr>
      </xdr:nvSpPr>
      <xdr:spPr>
        <a:xfrm>
          <a:off x="2647950" y="20631150"/>
          <a:ext cx="26574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The value of flexibility assumes operations continue at t = 0. You may however decide to abandon the project later on, and it is assumed the project remains close once it is abandoned.</a:t>
          </a:r>
        </a:p>
      </xdr:txBody>
    </xdr:sp>
    <xdr:clientData/>
  </xdr:twoCellAnchor>
  <xdr:twoCellAnchor>
    <xdr:from>
      <xdr:col>17</xdr:col>
      <xdr:colOff>38100</xdr:colOff>
      <xdr:row>126</xdr:row>
      <xdr:rowOff>28575</xdr:rowOff>
    </xdr:from>
    <xdr:to>
      <xdr:col>24</xdr:col>
      <xdr:colOff>0</xdr:colOff>
      <xdr:row>153</xdr:row>
      <xdr:rowOff>0</xdr:rowOff>
    </xdr:to>
    <xdr:graphicFrame>
      <xdr:nvGraphicFramePr>
        <xdr:cNvPr id="4" name="Chart 2"/>
        <xdr:cNvGraphicFramePr/>
      </xdr:nvGraphicFramePr>
      <xdr:xfrm>
        <a:off x="12792075" y="20488275"/>
        <a:ext cx="5162550" cy="4191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100</xdr:row>
      <xdr:rowOff>57150</xdr:rowOff>
    </xdr:from>
    <xdr:to>
      <xdr:col>12</xdr:col>
      <xdr:colOff>638175</xdr:colOff>
      <xdr:row>113</xdr:row>
      <xdr:rowOff>104775</xdr:rowOff>
    </xdr:to>
    <xdr:sp>
      <xdr:nvSpPr>
        <xdr:cNvPr id="1" name="TextBox 8"/>
        <xdr:cNvSpPr txBox="1">
          <a:spLocks noChangeArrowheads="1"/>
        </xdr:cNvSpPr>
      </xdr:nvSpPr>
      <xdr:spPr>
        <a:xfrm>
          <a:off x="6248400" y="16249650"/>
          <a:ext cx="3305175"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This lattice shows the best decision if you were to make the decision at the end of a given time period t, considering expectations of what is coming later on. For example, at t = 0 with price $2,000, the best decision is to not expand right away. Doing this and waiting more time increase the ENPV by $610,024 compared to the inflexible small design. To test the consistency of the lattice, consider the price at t = 4 if all up states occur ($2,984), in which case you should expand. Replacing the initial price at t = 0 by $2,984 should recommend expansion right away if the lattice is consistent. Inputting this new price in cell B3 indeed changes the initial decision at t = 0 to "YES", which confirms the consistency of the analysis.</a:t>
          </a:r>
        </a:p>
      </xdr:txBody>
    </xdr:sp>
    <xdr:clientData/>
  </xdr:twoCellAnchor>
  <xdr:twoCellAnchor>
    <xdr:from>
      <xdr:col>3</xdr:col>
      <xdr:colOff>9525</xdr:colOff>
      <xdr:row>138</xdr:row>
      <xdr:rowOff>0</xdr:rowOff>
    </xdr:from>
    <xdr:to>
      <xdr:col>6</xdr:col>
      <xdr:colOff>590550</xdr:colOff>
      <xdr:row>142</xdr:row>
      <xdr:rowOff>38100</xdr:rowOff>
    </xdr:to>
    <xdr:sp>
      <xdr:nvSpPr>
        <xdr:cNvPr id="2" name="TextBox 9"/>
        <xdr:cNvSpPr txBox="1">
          <a:spLocks noChangeArrowheads="1"/>
        </xdr:cNvSpPr>
      </xdr:nvSpPr>
      <xdr:spPr>
        <a:xfrm>
          <a:off x="2647950" y="22402800"/>
          <a:ext cx="26670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The value of flexibility assumes no expansion until at least t = 3, after which you are no longer flexible if you decide to expand (or are expanded!) for the rest of the project.</a:t>
          </a:r>
        </a:p>
      </xdr:txBody>
    </xdr:sp>
    <xdr:clientData/>
  </xdr:twoCellAnchor>
  <xdr:twoCellAnchor>
    <xdr:from>
      <xdr:col>12</xdr:col>
      <xdr:colOff>609600</xdr:colOff>
      <xdr:row>23</xdr:row>
      <xdr:rowOff>28575</xdr:rowOff>
    </xdr:from>
    <xdr:to>
      <xdr:col>21</xdr:col>
      <xdr:colOff>47625</xdr:colOff>
      <xdr:row>48</xdr:row>
      <xdr:rowOff>28575</xdr:rowOff>
    </xdr:to>
    <xdr:graphicFrame>
      <xdr:nvGraphicFramePr>
        <xdr:cNvPr id="3" name="Chart 11"/>
        <xdr:cNvGraphicFramePr/>
      </xdr:nvGraphicFramePr>
      <xdr:xfrm>
        <a:off x="9525000" y="3752850"/>
        <a:ext cx="6581775" cy="4048125"/>
      </xdr:xfrm>
      <a:graphic>
        <a:graphicData uri="http://schemas.openxmlformats.org/drawingml/2006/chart">
          <c:chart xmlns:c="http://schemas.openxmlformats.org/drawingml/2006/chart" r:id="rId1"/>
        </a:graphicData>
      </a:graphic>
    </xdr:graphicFrame>
    <xdr:clientData/>
  </xdr:twoCellAnchor>
  <xdr:twoCellAnchor>
    <xdr:from>
      <xdr:col>17</xdr:col>
      <xdr:colOff>19050</xdr:colOff>
      <xdr:row>138</xdr:row>
      <xdr:rowOff>85725</xdr:rowOff>
    </xdr:from>
    <xdr:to>
      <xdr:col>23</xdr:col>
      <xdr:colOff>838200</xdr:colOff>
      <xdr:row>165</xdr:row>
      <xdr:rowOff>47625</xdr:rowOff>
    </xdr:to>
    <xdr:graphicFrame>
      <xdr:nvGraphicFramePr>
        <xdr:cNvPr id="4" name="Chart 12"/>
        <xdr:cNvGraphicFramePr/>
      </xdr:nvGraphicFramePr>
      <xdr:xfrm>
        <a:off x="12706350" y="22488525"/>
        <a:ext cx="5886450" cy="4200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97"/>
  <sheetViews>
    <sheetView tabSelected="1" workbookViewId="0" topLeftCell="A1">
      <pane ySplit="7" topLeftCell="BM8" activePane="bottomLeft" state="frozen"/>
      <selection pane="topLeft" activeCell="A1" sqref="A1"/>
      <selection pane="bottomLeft" activeCell="H20" sqref="H20"/>
    </sheetView>
  </sheetViews>
  <sheetFormatPr defaultColWidth="11.421875" defaultRowHeight="12.75" outlineLevelRow="2"/>
  <cols>
    <col min="1" max="1" width="17.28125" style="0" customWidth="1"/>
    <col min="2" max="2" width="9.421875" style="0" bestFit="1" customWidth="1"/>
    <col min="3" max="4" width="9.8515625" style="0" bestFit="1" customWidth="1"/>
    <col min="5" max="5" width="10.28125" style="0" customWidth="1"/>
    <col min="6" max="6" width="10.140625" style="0" customWidth="1"/>
    <col min="7" max="7" width="10.421875" style="0" bestFit="1" customWidth="1"/>
    <col min="8" max="8" width="11.140625" style="0" customWidth="1"/>
    <col min="9" max="9" width="9.8515625" style="0" bestFit="1" customWidth="1"/>
    <col min="10" max="10" width="11.00390625" style="0" bestFit="1" customWidth="1"/>
    <col min="11" max="13" width="10.421875" style="0" bestFit="1" customWidth="1"/>
    <col min="14" max="14" width="11.00390625" style="0" bestFit="1" customWidth="1"/>
    <col min="15" max="16384" width="8.8515625" style="0" customWidth="1"/>
  </cols>
  <sheetData>
    <row r="1" ht="12.75">
      <c r="A1" s="3" t="s">
        <v>11</v>
      </c>
    </row>
    <row r="3" spans="1:7" ht="12.75">
      <c r="A3" t="s">
        <v>8</v>
      </c>
      <c r="B3" s="25">
        <v>2000</v>
      </c>
      <c r="E3" s="32" t="s">
        <v>56</v>
      </c>
      <c r="F3" s="68"/>
      <c r="G3" s="3" t="s">
        <v>3</v>
      </c>
    </row>
    <row r="4" spans="1:13" ht="12.75">
      <c r="A4" s="26" t="s">
        <v>63</v>
      </c>
      <c r="B4" s="25"/>
      <c r="C4" s="26" t="s">
        <v>64</v>
      </c>
      <c r="D4" s="25"/>
      <c r="E4" s="50" t="s">
        <v>55</v>
      </c>
      <c r="F4" s="68"/>
      <c r="H4" s="8" t="s">
        <v>4</v>
      </c>
      <c r="I4" s="25"/>
      <c r="L4" s="8" t="s">
        <v>6</v>
      </c>
      <c r="M4" s="28"/>
    </row>
    <row r="5" spans="1:14" ht="12.75">
      <c r="A5" t="s">
        <v>65</v>
      </c>
      <c r="B5" s="25"/>
      <c r="E5" s="50" t="s">
        <v>62</v>
      </c>
      <c r="F5" s="69"/>
      <c r="H5" s="8" t="s">
        <v>5</v>
      </c>
      <c r="I5" s="27"/>
      <c r="L5" s="8" t="s">
        <v>36</v>
      </c>
      <c r="M5" s="28"/>
      <c r="N5" s="9">
        <f>M5*I4</f>
        <v>0</v>
      </c>
    </row>
    <row r="6" spans="1:9" ht="12.75">
      <c r="A6" t="s">
        <v>66</v>
      </c>
      <c r="B6" s="25"/>
      <c r="I6" s="7"/>
    </row>
    <row r="7" spans="2:12" ht="12.75">
      <c r="B7" s="1" t="s">
        <v>67</v>
      </c>
      <c r="C7" s="1" t="s">
        <v>68</v>
      </c>
      <c r="D7" s="1" t="s">
        <v>69</v>
      </c>
      <c r="E7" s="1" t="s">
        <v>70</v>
      </c>
      <c r="F7" s="1" t="s">
        <v>71</v>
      </c>
      <c r="G7" s="1" t="s">
        <v>72</v>
      </c>
      <c r="H7" s="1" t="s">
        <v>73</v>
      </c>
      <c r="I7" s="1" t="s">
        <v>74</v>
      </c>
      <c r="J7" s="1" t="s">
        <v>75</v>
      </c>
      <c r="K7" s="1" t="s">
        <v>76</v>
      </c>
      <c r="L7" s="1" t="s">
        <v>0</v>
      </c>
    </row>
    <row r="8" spans="1:12" ht="12.75">
      <c r="A8" s="3" t="s">
        <v>7</v>
      </c>
      <c r="B8" s="2">
        <f>B3</f>
        <v>2000</v>
      </c>
      <c r="C8" s="2">
        <f aca="true" t="shared" si="0" ref="C8:L8">B8*$B5</f>
        <v>0</v>
      </c>
      <c r="D8" s="2">
        <f t="shared" si="0"/>
        <v>0</v>
      </c>
      <c r="E8" s="2">
        <f t="shared" si="0"/>
        <v>0</v>
      </c>
      <c r="F8" s="2">
        <f t="shared" si="0"/>
        <v>0</v>
      </c>
      <c r="G8" s="2">
        <f t="shared" si="0"/>
        <v>0</v>
      </c>
      <c r="H8" s="2">
        <f t="shared" si="0"/>
        <v>0</v>
      </c>
      <c r="I8" s="2">
        <f t="shared" si="0"/>
        <v>0</v>
      </c>
      <c r="J8" s="2">
        <f t="shared" si="0"/>
        <v>0</v>
      </c>
      <c r="K8" s="2">
        <f t="shared" si="0"/>
        <v>0</v>
      </c>
      <c r="L8" s="2">
        <f t="shared" si="0"/>
        <v>0</v>
      </c>
    </row>
    <row r="9" spans="2:12" ht="12.75">
      <c r="B9" s="2"/>
      <c r="C9" s="2">
        <f aca="true" t="shared" si="1" ref="C9:L9">B$8*$B6</f>
        <v>0</v>
      </c>
      <c r="D9" s="2">
        <f t="shared" si="1"/>
        <v>0</v>
      </c>
      <c r="E9" s="2">
        <f t="shared" si="1"/>
        <v>0</v>
      </c>
      <c r="F9" s="2">
        <f t="shared" si="1"/>
        <v>0</v>
      </c>
      <c r="G9" s="2">
        <f t="shared" si="1"/>
        <v>0</v>
      </c>
      <c r="H9" s="2">
        <f t="shared" si="1"/>
        <v>0</v>
      </c>
      <c r="I9" s="2">
        <f t="shared" si="1"/>
        <v>0</v>
      </c>
      <c r="J9" s="2">
        <f t="shared" si="1"/>
        <v>0</v>
      </c>
      <c r="K9" s="2">
        <f t="shared" si="1"/>
        <v>0</v>
      </c>
      <c r="L9" s="2">
        <f t="shared" si="1"/>
        <v>0</v>
      </c>
    </row>
    <row r="10" spans="2:12" ht="12.75">
      <c r="B10" s="2"/>
      <c r="C10" s="2"/>
      <c r="D10" s="2">
        <f>C9*$B$6</f>
        <v>0</v>
      </c>
      <c r="E10" s="2">
        <f aca="true" t="shared" si="2" ref="E10:L10">D$9*$B6</f>
        <v>0</v>
      </c>
      <c r="F10" s="2">
        <f t="shared" si="2"/>
        <v>0</v>
      </c>
      <c r="G10" s="2">
        <f t="shared" si="2"/>
        <v>0</v>
      </c>
      <c r="H10" s="2">
        <f t="shared" si="2"/>
        <v>0</v>
      </c>
      <c r="I10" s="2">
        <f t="shared" si="2"/>
        <v>0</v>
      </c>
      <c r="J10" s="2">
        <f t="shared" si="2"/>
        <v>0</v>
      </c>
      <c r="K10" s="2">
        <f t="shared" si="2"/>
        <v>0</v>
      </c>
      <c r="L10" s="2">
        <f t="shared" si="2"/>
        <v>0</v>
      </c>
    </row>
    <row r="11" spans="2:12" ht="12.75">
      <c r="B11" s="2"/>
      <c r="C11" s="2"/>
      <c r="D11" s="2"/>
      <c r="E11" s="2">
        <f aca="true" t="shared" si="3" ref="E11:L11">D10*$B$6</f>
        <v>0</v>
      </c>
      <c r="F11" s="2">
        <f t="shared" si="3"/>
        <v>0</v>
      </c>
      <c r="G11" s="2">
        <f t="shared" si="3"/>
        <v>0</v>
      </c>
      <c r="H11" s="2">
        <f t="shared" si="3"/>
        <v>0</v>
      </c>
      <c r="I11" s="2">
        <f t="shared" si="3"/>
        <v>0</v>
      </c>
      <c r="J11" s="2">
        <f t="shared" si="3"/>
        <v>0</v>
      </c>
      <c r="K11" s="2">
        <f t="shared" si="3"/>
        <v>0</v>
      </c>
      <c r="L11" s="2">
        <f t="shared" si="3"/>
        <v>0</v>
      </c>
    </row>
    <row r="12" spans="2:12" ht="12.75">
      <c r="B12" s="2"/>
      <c r="C12" s="2"/>
      <c r="D12" s="2"/>
      <c r="E12" s="2"/>
      <c r="F12" s="2">
        <f aca="true" t="shared" si="4" ref="F12:L12">E11*$B$6</f>
        <v>0</v>
      </c>
      <c r="G12" s="2">
        <f t="shared" si="4"/>
        <v>0</v>
      </c>
      <c r="H12" s="2">
        <f t="shared" si="4"/>
        <v>0</v>
      </c>
      <c r="I12" s="2">
        <f t="shared" si="4"/>
        <v>0</v>
      </c>
      <c r="J12" s="2">
        <f t="shared" si="4"/>
        <v>0</v>
      </c>
      <c r="K12" s="2">
        <f t="shared" si="4"/>
        <v>0</v>
      </c>
      <c r="L12" s="2">
        <f t="shared" si="4"/>
        <v>0</v>
      </c>
    </row>
    <row r="13" spans="2:12" ht="12.75">
      <c r="B13" s="2"/>
      <c r="C13" s="2"/>
      <c r="D13" s="2"/>
      <c r="E13" s="2"/>
      <c r="F13" s="2"/>
      <c r="G13" s="2">
        <f aca="true" t="shared" si="5" ref="G13:L13">F12*$B$6</f>
        <v>0</v>
      </c>
      <c r="H13" s="2">
        <f t="shared" si="5"/>
        <v>0</v>
      </c>
      <c r="I13" s="2">
        <f t="shared" si="5"/>
        <v>0</v>
      </c>
      <c r="J13" s="2">
        <f t="shared" si="5"/>
        <v>0</v>
      </c>
      <c r="K13" s="2">
        <f t="shared" si="5"/>
        <v>0</v>
      </c>
      <c r="L13" s="2">
        <f t="shared" si="5"/>
        <v>0</v>
      </c>
    </row>
    <row r="14" spans="2:12" ht="12.75">
      <c r="B14" s="2"/>
      <c r="C14" s="2"/>
      <c r="D14" s="2"/>
      <c r="E14" s="2"/>
      <c r="F14" s="2"/>
      <c r="G14" s="2"/>
      <c r="H14" s="2">
        <f>G13*$B$6</f>
        <v>0</v>
      </c>
      <c r="I14" s="2">
        <f>H13*$B$6</f>
        <v>0</v>
      </c>
      <c r="J14" s="2">
        <f>I13*$B$6</f>
        <v>0</v>
      </c>
      <c r="K14" s="2">
        <f>J13*$B$6</f>
        <v>0</v>
      </c>
      <c r="L14" s="2">
        <f>K13*$B$6</f>
        <v>0</v>
      </c>
    </row>
    <row r="15" spans="2:12" ht="12.75">
      <c r="B15" s="2"/>
      <c r="C15" s="2"/>
      <c r="D15" s="2"/>
      <c r="E15" s="2"/>
      <c r="F15" s="2"/>
      <c r="G15" s="2"/>
      <c r="H15" s="2"/>
      <c r="I15" s="2">
        <f>H14*$B$6</f>
        <v>0</v>
      </c>
      <c r="J15" s="2">
        <f>I14*$B$6</f>
        <v>0</v>
      </c>
      <c r="K15" s="2">
        <f>J14*$B$6</f>
        <v>0</v>
      </c>
      <c r="L15" s="2">
        <f>K14*$B$6</f>
        <v>0</v>
      </c>
    </row>
    <row r="16" spans="2:12" ht="12.75">
      <c r="B16" s="2"/>
      <c r="C16" s="2"/>
      <c r="D16" s="2"/>
      <c r="E16" s="2"/>
      <c r="F16" s="2"/>
      <c r="G16" s="2"/>
      <c r="H16" s="2"/>
      <c r="I16" s="2"/>
      <c r="J16" s="2">
        <f>I15*$B$6</f>
        <v>0</v>
      </c>
      <c r="K16" s="2">
        <f>J15*$B$6</f>
        <v>0</v>
      </c>
      <c r="L16" s="2">
        <f>K15*$B$6</f>
        <v>0</v>
      </c>
    </row>
    <row r="17" spans="2:12" ht="12.75">
      <c r="B17" s="2"/>
      <c r="C17" s="2"/>
      <c r="D17" s="2"/>
      <c r="E17" s="2"/>
      <c r="F17" s="2"/>
      <c r="G17" s="2"/>
      <c r="H17" s="2"/>
      <c r="I17" s="2"/>
      <c r="J17" s="2"/>
      <c r="K17" s="2">
        <f>J16*$B$6</f>
        <v>0</v>
      </c>
      <c r="L17" s="2">
        <f>K16*$B$6</f>
        <v>0</v>
      </c>
    </row>
    <row r="18" spans="2:12" ht="12.75">
      <c r="B18" s="2"/>
      <c r="C18" s="2"/>
      <c r="D18" s="2"/>
      <c r="E18" s="2"/>
      <c r="F18" s="2"/>
      <c r="G18" s="2"/>
      <c r="H18" s="2"/>
      <c r="I18" s="2"/>
      <c r="J18" s="2"/>
      <c r="K18" s="2"/>
      <c r="L18" s="2">
        <f>K17*$B$6</f>
        <v>0</v>
      </c>
    </row>
    <row r="19" s="6" customFormat="1" ht="12.75"/>
    <row r="20" s="6" customFormat="1" ht="12.75"/>
    <row r="21" spans="1:12" ht="12.75">
      <c r="A21" s="3" t="s">
        <v>1</v>
      </c>
      <c r="B21" s="2">
        <v>1</v>
      </c>
      <c r="C21" s="2">
        <f aca="true" t="shared" si="6" ref="C21:L21">B21*Prob_up</f>
        <v>0</v>
      </c>
      <c r="D21" s="2">
        <f t="shared" si="6"/>
        <v>0</v>
      </c>
      <c r="E21" s="4">
        <f t="shared" si="6"/>
        <v>0</v>
      </c>
      <c r="F21" s="4">
        <f t="shared" si="6"/>
        <v>0</v>
      </c>
      <c r="G21" s="4">
        <f t="shared" si="6"/>
        <v>0</v>
      </c>
      <c r="H21" s="4">
        <f t="shared" si="6"/>
        <v>0</v>
      </c>
      <c r="I21" s="4">
        <f t="shared" si="6"/>
        <v>0</v>
      </c>
      <c r="J21" s="4">
        <f t="shared" si="6"/>
        <v>0</v>
      </c>
      <c r="K21" s="4">
        <f t="shared" si="6"/>
        <v>0</v>
      </c>
      <c r="L21" s="4">
        <f t="shared" si="6"/>
        <v>0</v>
      </c>
    </row>
    <row r="22" spans="2:12" ht="12.75">
      <c r="B22" s="2"/>
      <c r="C22" s="2">
        <f>B21*Prob_down</f>
        <v>0</v>
      </c>
      <c r="D22" s="2">
        <f aca="true" t="shared" si="7" ref="D22:L22">C21*Prob_down+C22*Prob_up</f>
        <v>0</v>
      </c>
      <c r="E22" s="4">
        <f t="shared" si="7"/>
        <v>0</v>
      </c>
      <c r="F22" s="4">
        <f t="shared" si="7"/>
        <v>0</v>
      </c>
      <c r="G22" s="4">
        <f t="shared" si="7"/>
        <v>0</v>
      </c>
      <c r="H22" s="4">
        <f t="shared" si="7"/>
        <v>0</v>
      </c>
      <c r="I22" s="4">
        <f t="shared" si="7"/>
        <v>0</v>
      </c>
      <c r="J22" s="4">
        <f t="shared" si="7"/>
        <v>0</v>
      </c>
      <c r="K22" s="4">
        <f t="shared" si="7"/>
        <v>0</v>
      </c>
      <c r="L22" s="4">
        <f t="shared" si="7"/>
        <v>0</v>
      </c>
    </row>
    <row r="23" spans="2:12" ht="12.75">
      <c r="B23" s="2"/>
      <c r="C23" s="2"/>
      <c r="D23" s="2">
        <f>C22*Prob_down</f>
        <v>0</v>
      </c>
      <c r="E23" s="4">
        <f aca="true" t="shared" si="8" ref="E23:L23">D22*Prob_down+D23*Prob_up</f>
        <v>0</v>
      </c>
      <c r="F23" s="4">
        <f t="shared" si="8"/>
        <v>0</v>
      </c>
      <c r="G23" s="4">
        <f t="shared" si="8"/>
        <v>0</v>
      </c>
      <c r="H23" s="4">
        <f t="shared" si="8"/>
        <v>0</v>
      </c>
      <c r="I23" s="4">
        <f t="shared" si="8"/>
        <v>0</v>
      </c>
      <c r="J23" s="4">
        <f t="shared" si="8"/>
        <v>0</v>
      </c>
      <c r="K23" s="4">
        <f t="shared" si="8"/>
        <v>0</v>
      </c>
      <c r="L23" s="4">
        <f t="shared" si="8"/>
        <v>0</v>
      </c>
    </row>
    <row r="24" spans="2:12" ht="12.75">
      <c r="B24" s="2"/>
      <c r="C24" s="2"/>
      <c r="D24" s="2"/>
      <c r="E24" s="4">
        <f>(D23+D24)*Prob_down</f>
        <v>0</v>
      </c>
      <c r="F24" s="4">
        <f aca="true" t="shared" si="9" ref="F24:L25">E23*Prob_down+E24*Prob_up</f>
        <v>0</v>
      </c>
      <c r="G24" s="4">
        <f t="shared" si="9"/>
        <v>0</v>
      </c>
      <c r="H24" s="4">
        <f t="shared" si="9"/>
        <v>0</v>
      </c>
      <c r="I24" s="4">
        <f t="shared" si="9"/>
        <v>0</v>
      </c>
      <c r="J24" s="4">
        <f t="shared" si="9"/>
        <v>0</v>
      </c>
      <c r="K24" s="4">
        <f t="shared" si="9"/>
        <v>0</v>
      </c>
      <c r="L24" s="4">
        <f t="shared" si="9"/>
        <v>0</v>
      </c>
    </row>
    <row r="25" spans="2:12" ht="12.75">
      <c r="B25" s="2"/>
      <c r="C25" s="2"/>
      <c r="D25" s="2"/>
      <c r="E25" s="2"/>
      <c r="F25" s="4">
        <f t="shared" si="9"/>
        <v>0</v>
      </c>
      <c r="G25" s="4">
        <f t="shared" si="9"/>
        <v>0</v>
      </c>
      <c r="H25" s="4">
        <f t="shared" si="9"/>
        <v>0</v>
      </c>
      <c r="I25" s="4">
        <f t="shared" si="9"/>
        <v>0</v>
      </c>
      <c r="J25" s="4">
        <f t="shared" si="9"/>
        <v>0</v>
      </c>
      <c r="K25" s="4">
        <f t="shared" si="9"/>
        <v>0</v>
      </c>
      <c r="L25" s="4">
        <f t="shared" si="9"/>
        <v>0</v>
      </c>
    </row>
    <row r="26" spans="2:12" ht="12.75">
      <c r="B26" s="2"/>
      <c r="C26" s="2"/>
      <c r="D26" s="2"/>
      <c r="E26" s="2"/>
      <c r="F26" s="4"/>
      <c r="G26" s="4">
        <f aca="true" t="shared" si="10" ref="G26:L26">F25*Prob_down+F26*Prob_up</f>
        <v>0</v>
      </c>
      <c r="H26" s="4">
        <f t="shared" si="10"/>
        <v>0</v>
      </c>
      <c r="I26" s="4">
        <f t="shared" si="10"/>
        <v>0</v>
      </c>
      <c r="J26" s="4">
        <f t="shared" si="10"/>
        <v>0</v>
      </c>
      <c r="K26" s="4">
        <f t="shared" si="10"/>
        <v>0</v>
      </c>
      <c r="L26" s="4">
        <f t="shared" si="10"/>
        <v>0</v>
      </c>
    </row>
    <row r="27" spans="6:12" ht="12.75">
      <c r="F27" s="4"/>
      <c r="G27" s="4"/>
      <c r="H27" s="4">
        <f>G26*Prob_down+G27*Prob_up</f>
        <v>0</v>
      </c>
      <c r="I27" s="4">
        <f>H26*Prob_down+H27*Prob_up</f>
        <v>0</v>
      </c>
      <c r="J27" s="4">
        <f>I26*Prob_down+I27*Prob_up</f>
        <v>0</v>
      </c>
      <c r="K27" s="4">
        <f>J26*Prob_down+J27*Prob_up</f>
        <v>0</v>
      </c>
      <c r="L27" s="4">
        <f>K26*Prob_down+K27*Prob_up</f>
        <v>0</v>
      </c>
    </row>
    <row r="28" spans="6:12" ht="12.75">
      <c r="F28" s="4"/>
      <c r="G28" s="4"/>
      <c r="H28" s="4"/>
      <c r="I28" s="4">
        <f>H27*Prob_down+H28*Prob_up</f>
        <v>0</v>
      </c>
      <c r="J28" s="4">
        <f>I27*Prob_down+I28*Prob_up</f>
        <v>0</v>
      </c>
      <c r="K28" s="4">
        <f>J27*Prob_down+J28*Prob_up</f>
        <v>0</v>
      </c>
      <c r="L28" s="4">
        <f>K27*Prob_down+K28*Prob_up</f>
        <v>0</v>
      </c>
    </row>
    <row r="29" spans="6:12" ht="12.75">
      <c r="F29" s="4"/>
      <c r="G29" s="4"/>
      <c r="H29" s="4"/>
      <c r="I29" s="4"/>
      <c r="J29" s="4">
        <f>I28*Prob_down+I29*Prob_up</f>
        <v>0</v>
      </c>
      <c r="K29" s="4">
        <f>J28*Prob_down+J29*Prob_up</f>
        <v>0</v>
      </c>
      <c r="L29" s="4">
        <f>K28*Prob_down+K29*Prob_up</f>
        <v>0</v>
      </c>
    </row>
    <row r="30" spans="6:12" ht="12.75">
      <c r="F30" s="4"/>
      <c r="G30" s="4"/>
      <c r="H30" s="4"/>
      <c r="I30" s="4"/>
      <c r="J30" s="4"/>
      <c r="K30" s="4">
        <f>J29*Prob_down+J30*Prob_up</f>
        <v>0</v>
      </c>
      <c r="L30" s="4">
        <f>K29*Prob_down+K30*Prob_up</f>
        <v>0</v>
      </c>
    </row>
    <row r="31" spans="6:12" ht="12.75">
      <c r="F31" s="4"/>
      <c r="G31" s="4"/>
      <c r="H31" s="4"/>
      <c r="I31" s="4"/>
      <c r="J31" s="4"/>
      <c r="K31" s="4"/>
      <c r="L31" s="4">
        <f>K30*Prob_down+K31*Prob_up</f>
        <v>0</v>
      </c>
    </row>
    <row r="33" spans="1:12" ht="12.75">
      <c r="A33" t="s">
        <v>2</v>
      </c>
      <c r="B33" s="2">
        <f aca="true" t="shared" si="11" ref="B33:L33">SUM(B21:B32)</f>
        <v>1</v>
      </c>
      <c r="C33" s="2">
        <f t="shared" si="11"/>
        <v>0</v>
      </c>
      <c r="D33" s="2">
        <f t="shared" si="11"/>
        <v>0</v>
      </c>
      <c r="E33" s="2">
        <f t="shared" si="11"/>
        <v>0</v>
      </c>
      <c r="F33" s="2">
        <f t="shared" si="11"/>
        <v>0</v>
      </c>
      <c r="G33" s="2">
        <f t="shared" si="11"/>
        <v>0</v>
      </c>
      <c r="H33" s="2">
        <f t="shared" si="11"/>
        <v>0</v>
      </c>
      <c r="I33" s="2">
        <f t="shared" si="11"/>
        <v>0</v>
      </c>
      <c r="J33" s="22">
        <f t="shared" si="11"/>
        <v>0</v>
      </c>
      <c r="K33" s="22">
        <f t="shared" si="11"/>
        <v>0</v>
      </c>
      <c r="L33" s="22">
        <f t="shared" si="11"/>
        <v>0</v>
      </c>
    </row>
    <row r="35" spans="2:12" ht="12.75">
      <c r="B35" s="5"/>
      <c r="C35" s="5"/>
      <c r="D35" s="5"/>
      <c r="E35" s="5"/>
      <c r="F35" s="5"/>
      <c r="G35" s="5"/>
      <c r="H35" s="5"/>
      <c r="I35" s="5"/>
      <c r="J35" s="5"/>
      <c r="K35" s="5"/>
      <c r="L35" s="5"/>
    </row>
    <row r="36" spans="1:12" ht="12.75">
      <c r="A36" s="3" t="s">
        <v>54</v>
      </c>
      <c r="B36" s="10">
        <v>0</v>
      </c>
      <c r="C36" s="34"/>
      <c r="D36" s="29"/>
      <c r="E36" s="29"/>
      <c r="F36" s="31"/>
      <c r="G36" s="31"/>
      <c r="H36" s="29"/>
      <c r="I36" s="29"/>
      <c r="J36" s="29"/>
      <c r="K36" s="29"/>
      <c r="L36" s="29"/>
    </row>
    <row r="37" spans="2:12" ht="12.75">
      <c r="B37" s="10"/>
      <c r="C37" s="29"/>
      <c r="D37" s="29"/>
      <c r="E37" s="29"/>
      <c r="F37" s="29"/>
      <c r="G37" s="29"/>
      <c r="H37" s="29"/>
      <c r="I37" s="29"/>
      <c r="J37" s="29"/>
      <c r="K37" s="29"/>
      <c r="L37" s="29"/>
    </row>
    <row r="38" spans="2:12" ht="12.75">
      <c r="B38" s="10"/>
      <c r="C38" s="10"/>
      <c r="D38" s="29"/>
      <c r="E38" s="29"/>
      <c r="F38" s="29"/>
      <c r="G38" s="29"/>
      <c r="H38" s="29"/>
      <c r="I38" s="29"/>
      <c r="J38" s="29"/>
      <c r="K38" s="29"/>
      <c r="L38" s="29"/>
    </row>
    <row r="39" spans="2:12" ht="12.75">
      <c r="B39" s="10"/>
      <c r="C39" s="10"/>
      <c r="D39" s="10"/>
      <c r="E39" s="29"/>
      <c r="F39" s="29"/>
      <c r="G39" s="29"/>
      <c r="H39" s="29"/>
      <c r="I39" s="29"/>
      <c r="J39" s="29"/>
      <c r="K39" s="29"/>
      <c r="L39" s="29"/>
    </row>
    <row r="40" spans="2:12" ht="12.75">
      <c r="B40" s="10"/>
      <c r="C40" s="10"/>
      <c r="D40" s="10"/>
      <c r="E40" s="10"/>
      <c r="F40" s="29"/>
      <c r="G40" s="29"/>
      <c r="H40" s="29"/>
      <c r="I40" s="29"/>
      <c r="J40" s="29"/>
      <c r="K40" s="29"/>
      <c r="L40" s="29"/>
    </row>
    <row r="41" spans="2:12" ht="12.75">
      <c r="B41" s="10"/>
      <c r="C41" s="10"/>
      <c r="D41" s="10"/>
      <c r="E41" s="10"/>
      <c r="F41" s="10"/>
      <c r="G41" s="30"/>
      <c r="H41" s="29"/>
      <c r="I41" s="29"/>
      <c r="J41" s="29"/>
      <c r="K41" s="29"/>
      <c r="L41" s="29"/>
    </row>
    <row r="42" spans="2:12" ht="12.75">
      <c r="B42" s="10"/>
      <c r="C42" s="10"/>
      <c r="D42" s="10"/>
      <c r="E42" s="10"/>
      <c r="F42" s="10"/>
      <c r="G42" s="10"/>
      <c r="H42" s="29"/>
      <c r="I42" s="31"/>
      <c r="J42" s="29"/>
      <c r="K42" s="29"/>
      <c r="L42" s="29"/>
    </row>
    <row r="43" spans="2:12" ht="12.75">
      <c r="B43" s="10"/>
      <c r="C43" s="10"/>
      <c r="D43" s="10"/>
      <c r="E43" s="10"/>
      <c r="F43" s="10"/>
      <c r="G43" s="10"/>
      <c r="H43" s="10"/>
      <c r="I43" s="29"/>
      <c r="J43" s="29"/>
      <c r="K43" s="29"/>
      <c r="L43" s="29"/>
    </row>
    <row r="44" spans="2:12" ht="12.75">
      <c r="B44" s="10"/>
      <c r="C44" s="10"/>
      <c r="D44" s="10"/>
      <c r="E44" s="10"/>
      <c r="F44" s="10"/>
      <c r="G44" s="10"/>
      <c r="H44" s="10"/>
      <c r="I44" s="10"/>
      <c r="J44" s="29"/>
      <c r="K44" s="29"/>
      <c r="L44" s="29"/>
    </row>
    <row r="45" spans="2:12" ht="12.75">
      <c r="B45" s="10"/>
      <c r="C45" s="10"/>
      <c r="D45" s="10"/>
      <c r="E45" s="10"/>
      <c r="F45" s="10"/>
      <c r="G45" s="10"/>
      <c r="H45" s="10"/>
      <c r="I45" s="10"/>
      <c r="J45" s="10"/>
      <c r="K45" s="29"/>
      <c r="L45" s="29"/>
    </row>
    <row r="46" ht="12.75">
      <c r="L46" s="29"/>
    </row>
    <row r="47" ht="12.75">
      <c r="A47" s="1"/>
    </row>
    <row r="48" ht="12.75" outlineLevel="1"/>
    <row r="49" spans="1:12" ht="12.75" outlineLevel="1">
      <c r="A49" s="3" t="s">
        <v>9</v>
      </c>
      <c r="B49" s="34"/>
      <c r="C49" s="29"/>
      <c r="D49" s="29"/>
      <c r="E49" s="29"/>
      <c r="F49" s="31"/>
      <c r="G49" s="31"/>
      <c r="H49" s="29"/>
      <c r="I49" s="29"/>
      <c r="J49" s="29"/>
      <c r="K49" s="29"/>
      <c r="L49" s="29"/>
    </row>
    <row r="50" spans="1:12" ht="12.75" outlineLevel="1">
      <c r="A50" s="3" t="s">
        <v>10</v>
      </c>
      <c r="C50" s="29"/>
      <c r="D50" s="29"/>
      <c r="E50" s="29"/>
      <c r="F50" s="29"/>
      <c r="G50" s="29"/>
      <c r="H50" s="29"/>
      <c r="I50" s="29"/>
      <c r="J50" s="29"/>
      <c r="K50" s="29"/>
      <c r="L50" s="29"/>
    </row>
    <row r="51" spans="1:12" ht="12.75" outlineLevel="1">
      <c r="A51" s="3" t="s">
        <v>49</v>
      </c>
      <c r="C51" s="10"/>
      <c r="D51" s="29"/>
      <c r="E51" s="29"/>
      <c r="F51" s="29"/>
      <c r="G51" s="29"/>
      <c r="H51" s="29"/>
      <c r="I51" s="29"/>
      <c r="J51" s="29"/>
      <c r="K51" s="29"/>
      <c r="L51" s="29"/>
    </row>
    <row r="52" spans="3:12" ht="12.75" outlineLevel="1">
      <c r="C52" s="10"/>
      <c r="D52" s="10"/>
      <c r="E52" s="29"/>
      <c r="F52" s="29"/>
      <c r="G52" s="29"/>
      <c r="H52" s="29"/>
      <c r="I52" s="29"/>
      <c r="J52" s="29"/>
      <c r="K52" s="29"/>
      <c r="L52" s="29"/>
    </row>
    <row r="53" spans="3:12" ht="12.75" outlineLevel="1">
      <c r="C53" s="10"/>
      <c r="D53" s="10"/>
      <c r="E53" s="10"/>
      <c r="F53" s="29"/>
      <c r="G53" s="29"/>
      <c r="H53" s="29"/>
      <c r="I53" s="29"/>
      <c r="J53" s="29"/>
      <c r="K53" s="29"/>
      <c r="L53" s="29"/>
    </row>
    <row r="54" spans="3:12" ht="12.75" outlineLevel="1">
      <c r="C54" s="10"/>
      <c r="D54" s="10"/>
      <c r="E54" s="10"/>
      <c r="F54" s="10"/>
      <c r="G54" s="30"/>
      <c r="H54" s="29"/>
      <c r="I54" s="29"/>
      <c r="J54" s="29"/>
      <c r="K54" s="29"/>
      <c r="L54" s="29"/>
    </row>
    <row r="55" spans="3:12" ht="12.75" outlineLevel="1">
      <c r="C55" s="10"/>
      <c r="D55" s="10"/>
      <c r="E55" s="10"/>
      <c r="F55" s="10"/>
      <c r="G55" s="10"/>
      <c r="H55" s="29"/>
      <c r="I55" s="31"/>
      <c r="J55" s="29"/>
      <c r="K55" s="29"/>
      <c r="L55" s="29"/>
    </row>
    <row r="56" spans="3:12" ht="12.75" outlineLevel="1">
      <c r="C56" s="10"/>
      <c r="D56" s="10"/>
      <c r="E56" s="10"/>
      <c r="F56" s="10"/>
      <c r="G56" s="10"/>
      <c r="H56" s="10"/>
      <c r="I56" s="29"/>
      <c r="J56" s="29"/>
      <c r="K56" s="29"/>
      <c r="L56" s="29"/>
    </row>
    <row r="57" spans="3:12" ht="12.75" outlineLevel="1">
      <c r="C57" s="10"/>
      <c r="D57" s="10"/>
      <c r="E57" s="10"/>
      <c r="F57" s="10"/>
      <c r="G57" s="10"/>
      <c r="H57" s="10"/>
      <c r="I57" s="10"/>
      <c r="J57" s="29"/>
      <c r="K57" s="29"/>
      <c r="L57" s="29"/>
    </row>
    <row r="58" spans="3:12" ht="12.75" outlineLevel="1">
      <c r="C58" s="10"/>
      <c r="D58" s="10"/>
      <c r="E58" s="10"/>
      <c r="F58" s="10"/>
      <c r="G58" s="10"/>
      <c r="H58" s="10"/>
      <c r="I58" s="10"/>
      <c r="J58" s="10"/>
      <c r="K58" s="29"/>
      <c r="L58" s="29"/>
    </row>
    <row r="59" ht="12.75" outlineLevel="1">
      <c r="L59" s="29"/>
    </row>
    <row r="60" spans="3:12" ht="12.75" outlineLevel="1">
      <c r="C60" s="10"/>
      <c r="D60" s="10"/>
      <c r="E60" s="10"/>
      <c r="F60" s="10"/>
      <c r="G60" s="10"/>
      <c r="H60" s="10"/>
      <c r="I60" s="10"/>
      <c r="J60" s="10"/>
      <c r="K60" s="10"/>
      <c r="L60" s="10"/>
    </row>
    <row r="61" spans="2:12" ht="12.75" outlineLevel="1">
      <c r="B61" s="1">
        <v>0</v>
      </c>
      <c r="C61" s="12">
        <v>1</v>
      </c>
      <c r="D61" s="1">
        <v>2</v>
      </c>
      <c r="E61" s="12">
        <v>3</v>
      </c>
      <c r="F61" s="1">
        <v>4</v>
      </c>
      <c r="G61" s="12">
        <v>5</v>
      </c>
      <c r="H61" s="1">
        <v>6</v>
      </c>
      <c r="I61" s="12">
        <v>7</v>
      </c>
      <c r="J61" s="1">
        <v>8</v>
      </c>
      <c r="K61" s="12">
        <v>9</v>
      </c>
      <c r="L61" s="1">
        <v>10</v>
      </c>
    </row>
    <row r="62" spans="1:12" ht="12.75" outlineLevel="1">
      <c r="A62" s="35" t="s">
        <v>50</v>
      </c>
      <c r="B62" s="10">
        <f aca="true" t="shared" si="12" ref="B62:L62">SUM(B49:B60)</f>
        <v>0</v>
      </c>
      <c r="C62" s="10">
        <f t="shared" si="12"/>
        <v>0</v>
      </c>
      <c r="D62" s="10">
        <f t="shared" si="12"/>
        <v>0</v>
      </c>
      <c r="E62" s="10">
        <f t="shared" si="12"/>
        <v>0</v>
      </c>
      <c r="F62" s="10">
        <f t="shared" si="12"/>
        <v>0</v>
      </c>
      <c r="G62" s="10">
        <f t="shared" si="12"/>
        <v>0</v>
      </c>
      <c r="H62" s="10">
        <f t="shared" si="12"/>
        <v>0</v>
      </c>
      <c r="I62" s="10">
        <f t="shared" si="12"/>
        <v>0</v>
      </c>
      <c r="J62" s="10">
        <f t="shared" si="12"/>
        <v>0</v>
      </c>
      <c r="K62" s="10">
        <f t="shared" si="12"/>
        <v>0</v>
      </c>
      <c r="L62" s="10">
        <f t="shared" si="12"/>
        <v>0</v>
      </c>
    </row>
    <row r="63" spans="1:12" ht="12.75" outlineLevel="1">
      <c r="A63" s="35" t="s">
        <v>51</v>
      </c>
      <c r="B63" s="10">
        <f aca="true" t="shared" si="13" ref="B63:L63">B62/(1+$I$5)^B61</f>
        <v>0</v>
      </c>
      <c r="C63" s="14">
        <f t="shared" si="13"/>
        <v>0</v>
      </c>
      <c r="D63" s="15">
        <f t="shared" si="13"/>
        <v>0</v>
      </c>
      <c r="E63" s="15">
        <f t="shared" si="13"/>
        <v>0</v>
      </c>
      <c r="F63" s="15">
        <f t="shared" si="13"/>
        <v>0</v>
      </c>
      <c r="G63" s="15">
        <f t="shared" si="13"/>
        <v>0</v>
      </c>
      <c r="H63" s="16">
        <f t="shared" si="13"/>
        <v>0</v>
      </c>
      <c r="I63" s="10">
        <f t="shared" si="13"/>
        <v>0</v>
      </c>
      <c r="J63" s="10">
        <f t="shared" si="13"/>
        <v>0</v>
      </c>
      <c r="K63" s="10">
        <f t="shared" si="13"/>
        <v>0</v>
      </c>
      <c r="L63" s="10">
        <f t="shared" si="13"/>
        <v>0</v>
      </c>
    </row>
    <row r="64" spans="1:12" ht="12.75" outlineLevel="1">
      <c r="A64" t="s">
        <v>43</v>
      </c>
      <c r="B64" s="19">
        <f>SUM(C63:H63)</f>
        <v>0</v>
      </c>
      <c r="C64" s="10"/>
      <c r="D64" s="10"/>
      <c r="E64" s="10"/>
      <c r="F64" s="10"/>
      <c r="G64" s="10"/>
      <c r="H64" s="10"/>
      <c r="J64" s="10"/>
      <c r="K64" s="10"/>
      <c r="L64" s="10"/>
    </row>
    <row r="65" spans="1:2" ht="12.75" outlineLevel="1">
      <c r="A65" t="s">
        <v>44</v>
      </c>
      <c r="B65" s="13">
        <f>SUM(B63:L63)</f>
        <v>0</v>
      </c>
    </row>
    <row r="66" ht="12.75" outlineLevel="2"/>
    <row r="67" spans="1:12" ht="12.75" outlineLevel="1">
      <c r="A67" s="44" t="s">
        <v>52</v>
      </c>
      <c r="B67" s="29"/>
      <c r="C67" s="29"/>
      <c r="D67" s="29"/>
      <c r="E67" s="29"/>
      <c r="F67" s="31"/>
      <c r="G67" s="37"/>
      <c r="H67" s="34">
        <f aca="true" t="shared" si="14" ref="H67:H73">H36</f>
        <v>0</v>
      </c>
      <c r="I67" s="43"/>
      <c r="J67" s="17"/>
      <c r="K67" s="17"/>
      <c r="L67" s="17"/>
    </row>
    <row r="68" spans="1:12" ht="12.75" outlineLevel="1">
      <c r="A68" s="3" t="s">
        <v>37</v>
      </c>
      <c r="C68" s="29"/>
      <c r="D68" s="29"/>
      <c r="E68" s="29"/>
      <c r="F68" s="29"/>
      <c r="G68" s="29"/>
      <c r="H68" s="10">
        <f t="shared" si="14"/>
        <v>0</v>
      </c>
      <c r="I68" s="43"/>
      <c r="J68" s="17"/>
      <c r="K68" s="17"/>
      <c r="L68" s="17"/>
    </row>
    <row r="69" spans="1:12" ht="12.75" outlineLevel="1">
      <c r="A69" t="s">
        <v>38</v>
      </c>
      <c r="C69" s="10"/>
      <c r="D69" s="29"/>
      <c r="E69" s="29"/>
      <c r="F69" s="29"/>
      <c r="G69" s="29"/>
      <c r="H69" s="10">
        <f t="shared" si="14"/>
        <v>0</v>
      </c>
      <c r="I69" s="43"/>
      <c r="J69" s="17"/>
      <c r="K69" s="17"/>
      <c r="L69" s="17"/>
    </row>
    <row r="70" spans="1:12" ht="12.75" outlineLevel="1">
      <c r="A70" t="s">
        <v>39</v>
      </c>
      <c r="C70" s="10"/>
      <c r="D70" s="10"/>
      <c r="E70" s="29"/>
      <c r="F70" s="29"/>
      <c r="G70" s="29"/>
      <c r="H70" s="10">
        <f t="shared" si="14"/>
        <v>0</v>
      </c>
      <c r="I70" s="43"/>
      <c r="J70" s="17"/>
      <c r="K70" s="17"/>
      <c r="L70" s="17"/>
    </row>
    <row r="71" spans="1:12" ht="12.75" outlineLevel="1">
      <c r="A71" t="s">
        <v>32</v>
      </c>
      <c r="C71" s="10"/>
      <c r="D71" s="10"/>
      <c r="E71" s="10"/>
      <c r="F71" s="29"/>
      <c r="G71" s="29"/>
      <c r="H71" s="10">
        <f t="shared" si="14"/>
        <v>0</v>
      </c>
      <c r="I71" s="43"/>
      <c r="J71" s="17"/>
      <c r="K71" s="17"/>
      <c r="L71" s="17"/>
    </row>
    <row r="72" spans="3:12" ht="12.75" outlineLevel="1">
      <c r="C72" s="10"/>
      <c r="D72" s="10"/>
      <c r="E72" s="10"/>
      <c r="F72" s="10"/>
      <c r="G72" s="30"/>
      <c r="H72" s="10">
        <f t="shared" si="14"/>
        <v>0</v>
      </c>
      <c r="I72" s="43"/>
      <c r="J72" s="17"/>
      <c r="K72" s="17"/>
      <c r="L72" s="17"/>
    </row>
    <row r="73" spans="3:12" ht="12.75" outlineLevel="1">
      <c r="C73" s="10"/>
      <c r="D73" s="10"/>
      <c r="E73" s="10"/>
      <c r="F73" s="10"/>
      <c r="G73" s="10"/>
      <c r="H73" s="10">
        <f t="shared" si="14"/>
        <v>0</v>
      </c>
      <c r="I73" s="43"/>
      <c r="J73" s="17"/>
      <c r="K73" s="17"/>
      <c r="L73" s="17"/>
    </row>
    <row r="74" spans="3:13" ht="12.75" outlineLevel="1">
      <c r="C74" s="10"/>
      <c r="D74" s="10"/>
      <c r="E74" s="10"/>
      <c r="F74" s="10"/>
      <c r="G74" s="10"/>
      <c r="H74" s="10"/>
      <c r="I74" s="17"/>
      <c r="J74" s="17"/>
      <c r="K74" s="17"/>
      <c r="L74" s="17"/>
      <c r="M74" s="17"/>
    </row>
    <row r="75" spans="1:13" ht="12.75">
      <c r="A75" s="3" t="s">
        <v>53</v>
      </c>
      <c r="B75" s="36"/>
      <c r="C75" s="29"/>
      <c r="D75" s="29"/>
      <c r="E75" s="29"/>
      <c r="F75" s="31"/>
      <c r="G75" s="37"/>
      <c r="H75" s="34">
        <f aca="true" t="shared" si="15" ref="H75:H81">H36</f>
        <v>0</v>
      </c>
      <c r="I75" s="17"/>
      <c r="J75" s="17"/>
      <c r="K75" s="17"/>
      <c r="L75" s="17"/>
      <c r="M75" s="17"/>
    </row>
    <row r="76" spans="1:13" ht="12.75">
      <c r="A76" s="3" t="s">
        <v>35</v>
      </c>
      <c r="C76" s="29"/>
      <c r="D76" s="29"/>
      <c r="E76" s="29"/>
      <c r="F76" s="29"/>
      <c r="G76" s="29"/>
      <c r="H76" s="10">
        <f t="shared" si="15"/>
        <v>0</v>
      </c>
      <c r="I76" s="17"/>
      <c r="J76" s="17"/>
      <c r="K76" s="17"/>
      <c r="L76" s="17"/>
      <c r="M76" s="17"/>
    </row>
    <row r="77" spans="1:13" ht="12.75">
      <c r="A77" t="s">
        <v>38</v>
      </c>
      <c r="C77" s="10"/>
      <c r="D77" s="29"/>
      <c r="E77" s="29"/>
      <c r="F77" s="29"/>
      <c r="G77" s="29"/>
      <c r="H77" s="10">
        <f t="shared" si="15"/>
        <v>0</v>
      </c>
      <c r="I77" s="17"/>
      <c r="J77" s="17"/>
      <c r="K77" s="17"/>
      <c r="L77" s="17"/>
      <c r="M77" s="17"/>
    </row>
    <row r="78" spans="1:13" ht="12.75">
      <c r="A78" t="s">
        <v>39</v>
      </c>
      <c r="C78" s="10"/>
      <c r="D78" s="10"/>
      <c r="E78" s="29"/>
      <c r="F78" s="29"/>
      <c r="G78" s="29"/>
      <c r="H78" s="10">
        <f t="shared" si="15"/>
        <v>0</v>
      </c>
      <c r="I78" s="17"/>
      <c r="J78" s="17"/>
      <c r="K78" s="17"/>
      <c r="L78" s="17"/>
      <c r="M78" s="17"/>
    </row>
    <row r="79" spans="1:13" ht="12.75">
      <c r="A79" t="s">
        <v>32</v>
      </c>
      <c r="C79" s="10"/>
      <c r="D79" s="10"/>
      <c r="E79" s="10"/>
      <c r="F79" s="29"/>
      <c r="G79" s="29"/>
      <c r="H79" s="10">
        <f t="shared" si="15"/>
        <v>0</v>
      </c>
      <c r="I79" s="17"/>
      <c r="J79" s="17"/>
      <c r="K79" s="17"/>
      <c r="L79" s="17"/>
      <c r="M79" s="17"/>
    </row>
    <row r="80" spans="2:13" ht="12.75">
      <c r="B80" s="10"/>
      <c r="C80" s="10"/>
      <c r="D80" s="10"/>
      <c r="E80" s="10"/>
      <c r="F80" s="10"/>
      <c r="G80" s="31"/>
      <c r="H80" s="10">
        <f t="shared" si="15"/>
        <v>0</v>
      </c>
      <c r="I80" s="17"/>
      <c r="J80" s="17"/>
      <c r="K80" s="17"/>
      <c r="L80" s="17"/>
      <c r="M80" s="17"/>
    </row>
    <row r="81" spans="7:13" ht="12.75">
      <c r="G81" s="26"/>
      <c r="H81" s="10">
        <f t="shared" si="15"/>
        <v>0</v>
      </c>
      <c r="I81" s="17"/>
      <c r="J81" s="17"/>
      <c r="K81" s="17"/>
      <c r="L81" s="17"/>
      <c r="M81" s="17"/>
    </row>
    <row r="82" spans="9:13" ht="12.75">
      <c r="I82" s="17"/>
      <c r="J82" s="17"/>
      <c r="K82" s="17"/>
      <c r="L82" s="17"/>
      <c r="M82" s="17"/>
    </row>
    <row r="83" spans="7:13" ht="12.75">
      <c r="G83" s="10"/>
      <c r="H83" s="10"/>
      <c r="I83" s="17"/>
      <c r="J83" s="17"/>
      <c r="K83" s="17"/>
      <c r="L83" s="17"/>
      <c r="M83" s="17"/>
    </row>
    <row r="84" spans="8:13" ht="12.75">
      <c r="H84" s="9"/>
      <c r="I84" s="17"/>
      <c r="J84" s="17"/>
      <c r="K84" s="17"/>
      <c r="L84" s="17"/>
      <c r="M84" s="17"/>
    </row>
    <row r="85" spans="9:13" ht="12.75">
      <c r="I85" s="17"/>
      <c r="J85" s="17"/>
      <c r="K85" s="17"/>
      <c r="L85" s="17"/>
      <c r="M85" s="17"/>
    </row>
    <row r="86" spans="9:13" ht="12.75">
      <c r="I86" s="17"/>
      <c r="J86" s="17"/>
      <c r="K86" s="17"/>
      <c r="L86" s="17"/>
      <c r="M86" s="17"/>
    </row>
    <row r="87" spans="1:13" ht="12.75">
      <c r="A87" s="3" t="s">
        <v>33</v>
      </c>
      <c r="B87" s="33" t="str">
        <f>IF(C75*Prob_up+C76*Prob_down&lt;$M$4,"YES","NO")</f>
        <v>NO</v>
      </c>
      <c r="C87" s="32" t="str">
        <f>IF(D75*Prob_up+D76*Prob_down&lt;$M$4,"YES","NO")</f>
        <v>NO</v>
      </c>
      <c r="D87" s="32" t="str">
        <f>IF(E75*Prob_up+E76*Prob_down&lt;$M$4,"YES","NO")</f>
        <v>NO</v>
      </c>
      <c r="E87" s="32" t="str">
        <f>IF(F75*Prob_up+F76*Prob_down&lt;$M$4,"YES","NO")</f>
        <v>NO</v>
      </c>
      <c r="F87" s="32" t="str">
        <f>IF(G75*Prob_up+G76*Prob_down&lt;$M$4,"YES","NO")</f>
        <v>NO</v>
      </c>
      <c r="G87" s="32" t="str">
        <f aca="true" t="shared" si="16" ref="G87:G92">IF(H75*Prob_up+H76*Prob_down&lt;$M$4,"YES","NO")</f>
        <v>NO</v>
      </c>
      <c r="I87" s="17"/>
      <c r="J87" s="17"/>
      <c r="K87" s="17"/>
      <c r="L87" s="17"/>
      <c r="M87" s="17"/>
    </row>
    <row r="88" spans="1:7" ht="12.75">
      <c r="A88" s="3" t="s">
        <v>35</v>
      </c>
      <c r="B88" s="32"/>
      <c r="C88" s="32" t="str">
        <f>IF(D76*Prob_up+D77*Prob_down&lt;$M$4,"YES","NO")</f>
        <v>NO</v>
      </c>
      <c r="D88" s="32" t="str">
        <f>IF(E76*Prob_up+E77*Prob_down&lt;$M$4,"YES","NO")</f>
        <v>NO</v>
      </c>
      <c r="E88" s="32" t="str">
        <f>IF(F76*Prob_up+F77*Prob_down&lt;$M$4,"YES","NO")</f>
        <v>NO</v>
      </c>
      <c r="F88" s="32" t="str">
        <f>IF(G76*Prob_up+G77*Prob_down&lt;$M$4,"YES","NO")</f>
        <v>NO</v>
      </c>
      <c r="G88" s="32" t="str">
        <f t="shared" si="16"/>
        <v>NO</v>
      </c>
    </row>
    <row r="89" spans="1:7" ht="12.75">
      <c r="A89" t="s">
        <v>38</v>
      </c>
      <c r="B89" s="32"/>
      <c r="C89" s="32"/>
      <c r="D89" s="32" t="str">
        <f>IF(E77*Prob_up+E78*Prob_down&lt;$M$4,"YES","NO")</f>
        <v>NO</v>
      </c>
      <c r="E89" s="32" t="str">
        <f>IF(F77*Prob_up+F78*Prob_down&lt;$M$4,"YES","NO")</f>
        <v>NO</v>
      </c>
      <c r="F89" s="32" t="str">
        <f>IF(G77*Prob_up+G78*Prob_down&lt;$M$4,"YES","NO")</f>
        <v>NO</v>
      </c>
      <c r="G89" s="32" t="str">
        <f t="shared" si="16"/>
        <v>NO</v>
      </c>
    </row>
    <row r="90" spans="1:7" ht="12.75">
      <c r="A90" t="s">
        <v>39</v>
      </c>
      <c r="B90" s="32"/>
      <c r="C90" s="32"/>
      <c r="D90" s="32"/>
      <c r="E90" s="32" t="str">
        <f>IF(F78*Prob_up+F79*Prob_down&lt;$M$4,"YES","NO")</f>
        <v>NO</v>
      </c>
      <c r="F90" s="32" t="str">
        <f>IF(G78*Prob_up+G79*Prob_down&lt;$M$4,"YES","NO")</f>
        <v>NO</v>
      </c>
      <c r="G90" s="32" t="str">
        <f t="shared" si="16"/>
        <v>NO</v>
      </c>
    </row>
    <row r="91" spans="1:7" ht="12.75">
      <c r="A91" t="s">
        <v>32</v>
      </c>
      <c r="B91" s="32"/>
      <c r="C91" s="32"/>
      <c r="D91" s="32"/>
      <c r="E91" s="32"/>
      <c r="F91" s="32" t="str">
        <f>IF(G79*Prob_up+G80*Prob_down&lt;$M$4,"YES","NO")</f>
        <v>NO</v>
      </c>
      <c r="G91" s="32" t="str">
        <f t="shared" si="16"/>
        <v>NO</v>
      </c>
    </row>
    <row r="92" spans="2:7" ht="12.75">
      <c r="B92" s="32"/>
      <c r="C92" s="32"/>
      <c r="D92" s="32"/>
      <c r="E92" s="32"/>
      <c r="F92" s="32"/>
      <c r="G92" s="32" t="str">
        <f t="shared" si="16"/>
        <v>NO</v>
      </c>
    </row>
    <row r="94" spans="1:2" ht="12.75">
      <c r="A94" s="44" t="s">
        <v>45</v>
      </c>
      <c r="B94" s="10">
        <f>B75</f>
        <v>0</v>
      </c>
    </row>
    <row r="95" spans="1:2" ht="12.75">
      <c r="A95" s="46" t="s">
        <v>46</v>
      </c>
      <c r="B95" s="10">
        <f>B64</f>
        <v>0</v>
      </c>
    </row>
    <row r="96" spans="1:2" ht="12.75">
      <c r="A96" s="21" t="s">
        <v>41</v>
      </c>
      <c r="B96" s="47">
        <f>B94-B95</f>
        <v>0</v>
      </c>
    </row>
    <row r="97" ht="12.75">
      <c r="A97" s="21" t="s">
        <v>42</v>
      </c>
    </row>
  </sheetData>
  <conditionalFormatting sqref="B87:G92">
    <cfRule type="cellIs" priority="1" dxfId="0" operator="equal" stopIfTrue="1">
      <formula>"NO"</formula>
    </cfRule>
  </conditionalFormatting>
  <printOptions/>
  <pageMargins left="0.75" right="0.75" top="1" bottom="1" header="0.5" footer="0.5"/>
  <pageSetup horizontalDpi="600" verticalDpi="600" orientation="portrait"/>
  <drawing r:id="rId3"/>
  <legacyDrawing r:id="rId2"/>
</worksheet>
</file>

<file path=xl/worksheets/sheet2.xml><?xml version="1.0" encoding="utf-8"?>
<worksheet xmlns="http://schemas.openxmlformats.org/spreadsheetml/2006/main" xmlns:r="http://schemas.openxmlformats.org/officeDocument/2006/relationships">
  <dimension ref="A1:AF192"/>
  <sheetViews>
    <sheetView workbookViewId="0" topLeftCell="A1">
      <pane ySplit="8" topLeftCell="BM9" activePane="bottomLeft" state="frozen"/>
      <selection pane="topLeft" activeCell="A1" sqref="A1"/>
      <selection pane="bottomLeft" activeCell="O192" sqref="O192"/>
    </sheetView>
  </sheetViews>
  <sheetFormatPr defaultColWidth="11.421875" defaultRowHeight="12.75" outlineLevelRow="2"/>
  <cols>
    <col min="1" max="1" width="17.28125" style="0" customWidth="1"/>
    <col min="2" max="2" width="12.140625" style="0" bestFit="1" customWidth="1"/>
    <col min="3" max="3" width="10.140625" style="0" bestFit="1" customWidth="1"/>
    <col min="4" max="4" width="9.8515625" style="0" bestFit="1" customWidth="1"/>
    <col min="5" max="5" width="10.28125" style="0" customWidth="1"/>
    <col min="6" max="6" width="10.140625" style="0" customWidth="1"/>
    <col min="7" max="7" width="10.421875" style="0" bestFit="1" customWidth="1"/>
    <col min="8" max="8" width="11.140625" style="0" customWidth="1"/>
    <col min="9" max="9" width="9.8515625" style="0" bestFit="1" customWidth="1"/>
    <col min="10" max="10" width="11.7109375" style="0" customWidth="1"/>
    <col min="11" max="11" width="11.140625" style="0" bestFit="1" customWidth="1"/>
    <col min="12" max="12" width="11.421875" style="0" customWidth="1"/>
    <col min="13" max="32" width="11.140625" style="0" customWidth="1"/>
    <col min="33" max="16384" width="8.8515625" style="0" customWidth="1"/>
  </cols>
  <sheetData>
    <row r="1" ht="12.75">
      <c r="A1" s="3" t="s">
        <v>29</v>
      </c>
    </row>
    <row r="2" ht="12.75">
      <c r="A2" s="3" t="s">
        <v>30</v>
      </c>
    </row>
    <row r="4" spans="1:7" ht="12.75">
      <c r="A4" t="s">
        <v>8</v>
      </c>
      <c r="B4">
        <v>2000</v>
      </c>
      <c r="E4" s="32" t="s">
        <v>56</v>
      </c>
      <c r="F4" s="51">
        <v>0.05</v>
      </c>
      <c r="G4" s="3" t="s">
        <v>3</v>
      </c>
    </row>
    <row r="5" spans="1:13" ht="12.75">
      <c r="A5" s="26" t="s">
        <v>63</v>
      </c>
      <c r="B5" s="26">
        <f>0.5+0.5*(F4*SQRT(F6)/F5)</f>
        <v>0.75</v>
      </c>
      <c r="C5" s="26" t="s">
        <v>64</v>
      </c>
      <c r="D5" s="26">
        <f>1-B5</f>
        <v>0.25</v>
      </c>
      <c r="E5" s="50" t="s">
        <v>55</v>
      </c>
      <c r="F5" s="51">
        <v>0.1</v>
      </c>
      <c r="H5" s="8" t="s">
        <v>4</v>
      </c>
      <c r="I5">
        <v>5000</v>
      </c>
      <c r="L5" s="8" t="s">
        <v>6</v>
      </c>
      <c r="M5" s="9">
        <v>-1000000</v>
      </c>
    </row>
    <row r="6" spans="1:14" ht="12.75">
      <c r="A6" t="s">
        <v>65</v>
      </c>
      <c r="B6">
        <f>EXP(F5*SQRT(F6))</f>
        <v>1.1051709180756477</v>
      </c>
      <c r="E6" s="50" t="s">
        <v>62</v>
      </c>
      <c r="F6" s="32">
        <v>1</v>
      </c>
      <c r="H6" s="8" t="s">
        <v>5</v>
      </c>
      <c r="I6" s="7">
        <v>0.12</v>
      </c>
      <c r="L6" s="8" t="s">
        <v>36</v>
      </c>
      <c r="M6" s="9">
        <v>2200</v>
      </c>
      <c r="N6" s="9">
        <f>M6*I5</f>
        <v>11000000</v>
      </c>
    </row>
    <row r="7" spans="1:9" ht="12.75">
      <c r="A7" t="s">
        <v>66</v>
      </c>
      <c r="B7">
        <f>1/B6</f>
        <v>0.9048374180359595</v>
      </c>
      <c r="I7" s="7"/>
    </row>
    <row r="8" spans="2:12" ht="12.75">
      <c r="B8" s="1" t="s">
        <v>67</v>
      </c>
      <c r="C8" s="1" t="s">
        <v>68</v>
      </c>
      <c r="D8" s="1" t="s">
        <v>69</v>
      </c>
      <c r="E8" s="1" t="s">
        <v>70</v>
      </c>
      <c r="F8" s="1" t="s">
        <v>71</v>
      </c>
      <c r="G8" s="1" t="s">
        <v>72</v>
      </c>
      <c r="H8" s="1" t="s">
        <v>73</v>
      </c>
      <c r="I8" s="1" t="s">
        <v>74</v>
      </c>
      <c r="J8" s="1" t="s">
        <v>75</v>
      </c>
      <c r="K8" s="1" t="s">
        <v>76</v>
      </c>
      <c r="L8" s="1" t="s">
        <v>0</v>
      </c>
    </row>
    <row r="9" spans="1:12" ht="12.75">
      <c r="A9" s="3" t="s">
        <v>13</v>
      </c>
      <c r="B9" s="1">
        <v>0</v>
      </c>
      <c r="C9" s="1">
        <v>1</v>
      </c>
      <c r="D9" s="1">
        <v>2</v>
      </c>
      <c r="E9" s="1">
        <v>3</v>
      </c>
      <c r="F9" s="1">
        <v>4</v>
      </c>
      <c r="G9" s="1">
        <v>5</v>
      </c>
      <c r="H9" s="1">
        <v>6</v>
      </c>
      <c r="I9" s="1">
        <v>7</v>
      </c>
      <c r="J9" s="1">
        <v>8</v>
      </c>
      <c r="K9" s="1">
        <v>9</v>
      </c>
      <c r="L9" s="1">
        <v>10</v>
      </c>
    </row>
    <row r="10" spans="2:12" ht="12.75">
      <c r="B10" s="1"/>
      <c r="C10" s="1"/>
      <c r="D10" s="1"/>
      <c r="E10" s="1"/>
      <c r="F10" s="1"/>
      <c r="G10" s="1"/>
      <c r="H10" s="1"/>
      <c r="I10" s="1"/>
      <c r="J10" s="1"/>
      <c r="K10" s="1"/>
      <c r="L10" s="1"/>
    </row>
    <row r="11" spans="1:12" ht="12.75">
      <c r="A11" s="3" t="s">
        <v>7</v>
      </c>
      <c r="B11" s="2">
        <f>B4</f>
        <v>2000</v>
      </c>
      <c r="C11" s="2">
        <f aca="true" t="shared" si="0" ref="C11:L11">B11*$B6</f>
        <v>2210.3418361512954</v>
      </c>
      <c r="D11" s="2">
        <f t="shared" si="0"/>
        <v>2442.80551632034</v>
      </c>
      <c r="E11" s="2">
        <f t="shared" si="0"/>
        <v>2699.7176151520066</v>
      </c>
      <c r="F11" s="2">
        <f t="shared" si="0"/>
        <v>2983.6493952825413</v>
      </c>
      <c r="G11" s="2">
        <f t="shared" si="0"/>
        <v>3297.442541400257</v>
      </c>
      <c r="H11" s="2">
        <f t="shared" si="0"/>
        <v>3644.237600781019</v>
      </c>
      <c r="I11" s="2">
        <f t="shared" si="0"/>
        <v>4027.5054149409543</v>
      </c>
      <c r="J11" s="2">
        <f t="shared" si="0"/>
        <v>4451.081856984937</v>
      </c>
      <c r="K11" s="2">
        <f t="shared" si="0"/>
        <v>4919.206222313902</v>
      </c>
      <c r="L11" s="2">
        <f t="shared" si="0"/>
        <v>5436.563656918093</v>
      </c>
    </row>
    <row r="12" spans="2:12" ht="12.75">
      <c r="B12" s="2"/>
      <c r="C12" s="2">
        <f aca="true" t="shared" si="1" ref="C12:L12">B$11*$B7</f>
        <v>1809.6748360719191</v>
      </c>
      <c r="D12" s="2">
        <f t="shared" si="1"/>
        <v>2000</v>
      </c>
      <c r="E12" s="2">
        <f t="shared" si="1"/>
        <v>2210.3418361512954</v>
      </c>
      <c r="F12" s="2">
        <f t="shared" si="1"/>
        <v>2442.80551632034</v>
      </c>
      <c r="G12" s="2">
        <f t="shared" si="1"/>
        <v>2699.7176151520066</v>
      </c>
      <c r="H12" s="2">
        <f t="shared" si="1"/>
        <v>2983.6493952825413</v>
      </c>
      <c r="I12" s="2">
        <f t="shared" si="1"/>
        <v>3297.442541400257</v>
      </c>
      <c r="J12" s="2">
        <f t="shared" si="1"/>
        <v>3644.237600781019</v>
      </c>
      <c r="K12" s="2">
        <f t="shared" si="1"/>
        <v>4027.5054149409543</v>
      </c>
      <c r="L12" s="2">
        <f t="shared" si="1"/>
        <v>4451.081856984937</v>
      </c>
    </row>
    <row r="13" spans="2:12" ht="12.75">
      <c r="B13" s="2"/>
      <c r="C13" s="2"/>
      <c r="D13" s="2">
        <f>C12*$B$7</f>
        <v>1637.4615061559637</v>
      </c>
      <c r="E13" s="2">
        <f aca="true" t="shared" si="2" ref="E13:L13">D$12*$B7</f>
        <v>1809.6748360719191</v>
      </c>
      <c r="F13" s="2">
        <f t="shared" si="2"/>
        <v>2000</v>
      </c>
      <c r="G13" s="2">
        <f t="shared" si="2"/>
        <v>2210.3418361512954</v>
      </c>
      <c r="H13" s="2">
        <f t="shared" si="2"/>
        <v>2442.80551632034</v>
      </c>
      <c r="I13" s="2">
        <f t="shared" si="2"/>
        <v>2699.7176151520066</v>
      </c>
      <c r="J13" s="2">
        <f t="shared" si="2"/>
        <v>2983.6493952825413</v>
      </c>
      <c r="K13" s="2">
        <f t="shared" si="2"/>
        <v>3297.442541400257</v>
      </c>
      <c r="L13" s="2">
        <f t="shared" si="2"/>
        <v>3644.237600781019</v>
      </c>
    </row>
    <row r="14" spans="2:12" ht="12.75">
      <c r="B14" s="2"/>
      <c r="C14" s="2"/>
      <c r="D14" s="2"/>
      <c r="E14" s="2">
        <f aca="true" t="shared" si="3" ref="E14:L14">D13*$B$7</f>
        <v>1481.6364413634356</v>
      </c>
      <c r="F14" s="2">
        <f t="shared" si="3"/>
        <v>1637.4615061559637</v>
      </c>
      <c r="G14" s="2">
        <f t="shared" si="3"/>
        <v>1809.6748360719191</v>
      </c>
      <c r="H14" s="2">
        <f t="shared" si="3"/>
        <v>2000</v>
      </c>
      <c r="I14" s="2">
        <f t="shared" si="3"/>
        <v>2210.3418361512954</v>
      </c>
      <c r="J14" s="2">
        <f t="shared" si="3"/>
        <v>2442.80551632034</v>
      </c>
      <c r="K14" s="2">
        <f t="shared" si="3"/>
        <v>2699.7176151520066</v>
      </c>
      <c r="L14" s="2">
        <f t="shared" si="3"/>
        <v>2983.6493952825413</v>
      </c>
    </row>
    <row r="15" spans="2:12" ht="12.75">
      <c r="B15" s="2"/>
      <c r="C15" s="2"/>
      <c r="D15" s="2"/>
      <c r="E15" s="2"/>
      <c r="F15" s="2">
        <f aca="true" t="shared" si="4" ref="F15:L15">E14*$B$7</f>
        <v>1340.6400920712783</v>
      </c>
      <c r="G15" s="2">
        <f t="shared" si="4"/>
        <v>1481.6364413634356</v>
      </c>
      <c r="H15" s="2">
        <f t="shared" si="4"/>
        <v>1637.4615061559637</v>
      </c>
      <c r="I15" s="2">
        <f t="shared" si="4"/>
        <v>1809.6748360719191</v>
      </c>
      <c r="J15" s="2">
        <f t="shared" si="4"/>
        <v>2000</v>
      </c>
      <c r="K15" s="2">
        <f t="shared" si="4"/>
        <v>2210.3418361512954</v>
      </c>
      <c r="L15" s="2">
        <f t="shared" si="4"/>
        <v>2442.80551632034</v>
      </c>
    </row>
    <row r="16" spans="2:12" ht="12.75">
      <c r="B16" s="2"/>
      <c r="C16" s="2"/>
      <c r="D16" s="2"/>
      <c r="E16" s="2"/>
      <c r="F16" s="2"/>
      <c r="G16" s="2">
        <f aca="true" t="shared" si="5" ref="G16:L16">F15*$B$7</f>
        <v>1213.0613194252664</v>
      </c>
      <c r="H16" s="2">
        <f t="shared" si="5"/>
        <v>1340.6400920712783</v>
      </c>
      <c r="I16" s="2">
        <f t="shared" si="5"/>
        <v>1481.6364413634356</v>
      </c>
      <c r="J16" s="2">
        <f t="shared" si="5"/>
        <v>1637.4615061559637</v>
      </c>
      <c r="K16" s="2">
        <f t="shared" si="5"/>
        <v>1809.6748360719191</v>
      </c>
      <c r="L16" s="2">
        <f t="shared" si="5"/>
        <v>2000</v>
      </c>
    </row>
    <row r="17" spans="2:12" ht="12.75">
      <c r="B17" s="2"/>
      <c r="C17" s="2"/>
      <c r="D17" s="2"/>
      <c r="E17" s="2"/>
      <c r="F17" s="2"/>
      <c r="G17" s="2"/>
      <c r="H17" s="2">
        <f>G16*$B$7</f>
        <v>1097.6232721880524</v>
      </c>
      <c r="I17" s="2">
        <f>H16*$B$7</f>
        <v>1213.0613194252664</v>
      </c>
      <c r="J17" s="2">
        <f>I16*$B$7</f>
        <v>1340.6400920712783</v>
      </c>
      <c r="K17" s="2">
        <f>J16*$B$7</f>
        <v>1481.6364413634356</v>
      </c>
      <c r="L17" s="2">
        <f>K16*$B$7</f>
        <v>1637.4615061559637</v>
      </c>
    </row>
    <row r="18" spans="2:12" ht="12.75">
      <c r="B18" s="2"/>
      <c r="C18" s="2"/>
      <c r="D18" s="2"/>
      <c r="E18" s="2"/>
      <c r="F18" s="2"/>
      <c r="G18" s="2"/>
      <c r="H18" s="2"/>
      <c r="I18" s="2">
        <f>H17*$B$7</f>
        <v>993.1706075828185</v>
      </c>
      <c r="J18" s="2">
        <f>I17*$B$7</f>
        <v>1097.6232721880524</v>
      </c>
      <c r="K18" s="2">
        <f>J17*$B$7</f>
        <v>1213.0613194252664</v>
      </c>
      <c r="L18" s="2">
        <f>K17*$B$7</f>
        <v>1340.6400920712783</v>
      </c>
    </row>
    <row r="19" spans="2:12" ht="12.75">
      <c r="B19" s="2"/>
      <c r="C19" s="2"/>
      <c r="D19" s="2"/>
      <c r="E19" s="2"/>
      <c r="F19" s="2"/>
      <c r="G19" s="2"/>
      <c r="H19" s="2"/>
      <c r="I19" s="2"/>
      <c r="J19" s="2">
        <f>I18*$B$7</f>
        <v>898.6579282344427</v>
      </c>
      <c r="K19" s="2">
        <f>J18*$B$7</f>
        <v>993.1706075828185</v>
      </c>
      <c r="L19" s="2">
        <f>K18*$B$7</f>
        <v>1097.6232721880524</v>
      </c>
    </row>
    <row r="20" spans="2:12" ht="12.75">
      <c r="B20" s="2"/>
      <c r="C20" s="2"/>
      <c r="D20" s="2"/>
      <c r="E20" s="2"/>
      <c r="F20" s="2"/>
      <c r="G20" s="2"/>
      <c r="H20" s="2"/>
      <c r="I20" s="2"/>
      <c r="J20" s="2"/>
      <c r="K20" s="2">
        <f>J19*$B$7</f>
        <v>813.1393194811977</v>
      </c>
      <c r="L20" s="2">
        <f>K19*$B$7</f>
        <v>898.6579282344427</v>
      </c>
    </row>
    <row r="21" spans="2:12" ht="12.75">
      <c r="B21" s="2"/>
      <c r="C21" s="2"/>
      <c r="D21" s="2"/>
      <c r="E21" s="2"/>
      <c r="F21" s="2"/>
      <c r="G21" s="2"/>
      <c r="H21" s="2"/>
      <c r="I21" s="2"/>
      <c r="J21" s="2"/>
      <c r="K21" s="2"/>
      <c r="L21" s="2">
        <f>K20*$B$7</f>
        <v>735.7588823428841</v>
      </c>
    </row>
    <row r="22" s="6" customFormat="1" ht="12.75"/>
    <row r="23" s="6" customFormat="1" ht="12.75"/>
    <row r="24" spans="1:12" ht="12.75">
      <c r="A24" s="3" t="s">
        <v>1</v>
      </c>
      <c r="B24" s="2">
        <v>1</v>
      </c>
      <c r="C24" s="2">
        <f aca="true" t="shared" si="6" ref="C24:L24">B24*Prob_up</f>
        <v>0.75</v>
      </c>
      <c r="D24" s="2">
        <f t="shared" si="6"/>
        <v>0.5625</v>
      </c>
      <c r="E24" s="4">
        <f t="shared" si="6"/>
        <v>0.421875</v>
      </c>
      <c r="F24" s="4">
        <f t="shared" si="6"/>
        <v>0.31640625</v>
      </c>
      <c r="G24" s="4">
        <f t="shared" si="6"/>
        <v>0.2373046875</v>
      </c>
      <c r="H24" s="4">
        <f t="shared" si="6"/>
        <v>0.177978515625</v>
      </c>
      <c r="I24" s="4">
        <f t="shared" si="6"/>
        <v>0.13348388671875</v>
      </c>
      <c r="J24" s="4">
        <f t="shared" si="6"/>
        <v>0.1001129150390625</v>
      </c>
      <c r="K24" s="4">
        <f t="shared" si="6"/>
        <v>0.07508468627929688</v>
      </c>
      <c r="L24" s="4">
        <f t="shared" si="6"/>
        <v>0.056313514709472656</v>
      </c>
    </row>
    <row r="25" spans="2:12" ht="12.75">
      <c r="B25" s="2"/>
      <c r="C25" s="2">
        <f>B24*Prob_down</f>
        <v>0.25</v>
      </c>
      <c r="D25" s="2">
        <f aca="true" t="shared" si="7" ref="D25:L25">C24*Prob_down+C25*Prob_up</f>
        <v>0.375</v>
      </c>
      <c r="E25" s="4">
        <f t="shared" si="7"/>
        <v>0.421875</v>
      </c>
      <c r="F25" s="4">
        <f t="shared" si="7"/>
        <v>0.421875</v>
      </c>
      <c r="G25" s="4">
        <f t="shared" si="7"/>
        <v>0.3955078125</v>
      </c>
      <c r="H25" s="4">
        <f t="shared" si="7"/>
        <v>0.35595703125</v>
      </c>
      <c r="I25" s="4">
        <f t="shared" si="7"/>
        <v>0.31146240234375</v>
      </c>
      <c r="J25" s="4">
        <f t="shared" si="7"/>
        <v>0.2669677734375</v>
      </c>
      <c r="K25" s="4">
        <f t="shared" si="7"/>
        <v>0.22525405883789062</v>
      </c>
      <c r="L25" s="4">
        <f t="shared" si="7"/>
        <v>0.1877117156982422</v>
      </c>
    </row>
    <row r="26" spans="2:12" ht="12.75">
      <c r="B26" s="2"/>
      <c r="C26" s="2"/>
      <c r="D26" s="2">
        <f>C25*Prob_down</f>
        <v>0.0625</v>
      </c>
      <c r="E26" s="4">
        <f aca="true" t="shared" si="8" ref="E26:L26">D25*Prob_down+D26*Prob_up</f>
        <v>0.140625</v>
      </c>
      <c r="F26" s="4">
        <f t="shared" si="8"/>
        <v>0.2109375</v>
      </c>
      <c r="G26" s="4">
        <f t="shared" si="8"/>
        <v>0.263671875</v>
      </c>
      <c r="H26" s="4">
        <f t="shared" si="8"/>
        <v>0.296630859375</v>
      </c>
      <c r="I26" s="4">
        <f t="shared" si="8"/>
        <v>0.31146240234375</v>
      </c>
      <c r="J26" s="4">
        <f t="shared" si="8"/>
        <v>0.31146240234375</v>
      </c>
      <c r="K26" s="4">
        <f t="shared" si="8"/>
        <v>0.3003387451171875</v>
      </c>
      <c r="L26" s="4">
        <f t="shared" si="8"/>
        <v>0.2815675735473633</v>
      </c>
    </row>
    <row r="27" spans="2:12" ht="12.75">
      <c r="B27" s="2"/>
      <c r="C27" s="2"/>
      <c r="D27" s="2"/>
      <c r="E27" s="4">
        <f>(D26+D27)*Prob_down</f>
        <v>0.015625</v>
      </c>
      <c r="F27" s="4">
        <f aca="true" t="shared" si="9" ref="F27:L28">E26*Prob_down+E27*Prob_up</f>
        <v>0.046875</v>
      </c>
      <c r="G27" s="4">
        <f t="shared" si="9"/>
        <v>0.087890625</v>
      </c>
      <c r="H27" s="4">
        <f t="shared" si="9"/>
        <v>0.1318359375</v>
      </c>
      <c r="I27" s="4">
        <f t="shared" si="9"/>
        <v>0.17303466796875</v>
      </c>
      <c r="J27" s="4">
        <f t="shared" si="9"/>
        <v>0.2076416015625</v>
      </c>
      <c r="K27" s="4">
        <f t="shared" si="9"/>
        <v>0.2335968017578125</v>
      </c>
      <c r="L27" s="4">
        <f t="shared" si="9"/>
        <v>0.25028228759765625</v>
      </c>
    </row>
    <row r="28" spans="2:12" ht="12.75">
      <c r="B28" s="2"/>
      <c r="C28" s="2"/>
      <c r="D28" s="2"/>
      <c r="E28" s="2"/>
      <c r="F28" s="4">
        <f t="shared" si="9"/>
        <v>0.00390625</v>
      </c>
      <c r="G28" s="4">
        <f t="shared" si="9"/>
        <v>0.0146484375</v>
      </c>
      <c r="H28" s="4">
        <f t="shared" si="9"/>
        <v>0.032958984375</v>
      </c>
      <c r="I28" s="4">
        <f t="shared" si="9"/>
        <v>0.05767822265625</v>
      </c>
      <c r="J28" s="4">
        <f t="shared" si="9"/>
        <v>0.086517333984375</v>
      </c>
      <c r="K28" s="4">
        <f t="shared" si="9"/>
        <v>0.11679840087890625</v>
      </c>
      <c r="L28" s="4">
        <f t="shared" si="9"/>
        <v>0.1459980010986328</v>
      </c>
    </row>
    <row r="29" spans="2:12" ht="12.75">
      <c r="B29" s="2"/>
      <c r="C29" s="2"/>
      <c r="D29" s="2"/>
      <c r="E29" s="2"/>
      <c r="F29" s="4"/>
      <c r="G29" s="4">
        <f aca="true" t="shared" si="10" ref="G29:L29">F28*Prob_down+F29*Prob_up</f>
        <v>0.0009765625</v>
      </c>
      <c r="H29" s="4">
        <f t="shared" si="10"/>
        <v>0.00439453125</v>
      </c>
      <c r="I29" s="4">
        <f t="shared" si="10"/>
        <v>0.01153564453125</v>
      </c>
      <c r="J29" s="4">
        <f t="shared" si="10"/>
        <v>0.0230712890625</v>
      </c>
      <c r="K29" s="4">
        <f t="shared" si="10"/>
        <v>0.03893280029296875</v>
      </c>
      <c r="L29" s="4">
        <f t="shared" si="10"/>
        <v>0.058399200439453125</v>
      </c>
    </row>
    <row r="30" spans="6:12" ht="12.75">
      <c r="F30" s="4"/>
      <c r="G30" s="4"/>
      <c r="H30" s="4">
        <f>G29*Prob_down+G30*Prob_up</f>
        <v>0.000244140625</v>
      </c>
      <c r="I30" s="4">
        <f>H29*Prob_down+H30*Prob_up</f>
        <v>0.00128173828125</v>
      </c>
      <c r="J30" s="4">
        <f>I29*Prob_down+I30*Prob_up</f>
        <v>0.00384521484375</v>
      </c>
      <c r="K30" s="4">
        <f>J29*Prob_down+J30*Prob_up</f>
        <v>0.0086517333984375</v>
      </c>
      <c r="L30" s="4">
        <f>K29*Prob_down+K30*Prob_up</f>
        <v>0.016222000122070312</v>
      </c>
    </row>
    <row r="31" spans="6:12" ht="12.75">
      <c r="F31" s="4"/>
      <c r="G31" s="4"/>
      <c r="H31" s="4"/>
      <c r="I31" s="4">
        <f>H30*Prob_down+H31*Prob_up</f>
        <v>6.103515625E-05</v>
      </c>
      <c r="J31" s="4">
        <f>I30*Prob_down+I31*Prob_up</f>
        <v>0.0003662109375</v>
      </c>
      <c r="K31" s="4">
        <f>J30*Prob_down+J31*Prob_up</f>
        <v>0.0012359619140625</v>
      </c>
      <c r="L31" s="4">
        <f>K30*Prob_down+K31*Prob_up</f>
        <v>0.00308990478515625</v>
      </c>
    </row>
    <row r="32" spans="6:12" ht="12.75">
      <c r="F32" s="4"/>
      <c r="G32" s="4"/>
      <c r="H32" s="4"/>
      <c r="I32" s="4"/>
      <c r="J32" s="4">
        <f>I31*Prob_down+I32*Prob_up</f>
        <v>1.52587890625E-05</v>
      </c>
      <c r="K32" s="4">
        <f>J31*Prob_down+J32*Prob_up</f>
        <v>0.000102996826171875</v>
      </c>
      <c r="L32" s="4">
        <f>K31*Prob_down+K32*Prob_up</f>
        <v>0.00038623809814453125</v>
      </c>
    </row>
    <row r="33" spans="6:12" ht="12.75">
      <c r="F33" s="4"/>
      <c r="G33" s="4"/>
      <c r="H33" s="4"/>
      <c r="I33" s="4"/>
      <c r="J33" s="4"/>
      <c r="K33" s="4">
        <f>J32*Prob_down+J33*Prob_up</f>
        <v>3.814697265625E-06</v>
      </c>
      <c r="L33" s="4">
        <f>K32*Prob_down+K33*Prob_up</f>
        <v>2.86102294921875E-05</v>
      </c>
    </row>
    <row r="34" spans="6:12" ht="12.75">
      <c r="F34" s="4"/>
      <c r="G34" s="4"/>
      <c r="H34" s="4"/>
      <c r="I34" s="4"/>
      <c r="J34" s="4"/>
      <c r="K34" s="4"/>
      <c r="L34" s="4">
        <f>K33*Prob_down+K34*Prob_up</f>
        <v>9.5367431640625E-07</v>
      </c>
    </row>
    <row r="36" spans="1:12" ht="12.75">
      <c r="A36" t="s">
        <v>2</v>
      </c>
      <c r="B36" s="2">
        <f aca="true" t="shared" si="11" ref="B36:L36">SUM(B24:B35)</f>
        <v>1</v>
      </c>
      <c r="C36" s="2">
        <f t="shared" si="11"/>
        <v>1</v>
      </c>
      <c r="D36" s="2">
        <f t="shared" si="11"/>
        <v>1</v>
      </c>
      <c r="E36" s="2">
        <f t="shared" si="11"/>
        <v>1</v>
      </c>
      <c r="F36" s="2">
        <f t="shared" si="11"/>
        <v>1</v>
      </c>
      <c r="G36" s="2">
        <f t="shared" si="11"/>
        <v>1</v>
      </c>
      <c r="H36" s="2">
        <f t="shared" si="11"/>
        <v>1</v>
      </c>
      <c r="I36" s="2">
        <f t="shared" si="11"/>
        <v>1</v>
      </c>
      <c r="J36" s="22">
        <f t="shared" si="11"/>
        <v>1</v>
      </c>
      <c r="K36" s="22">
        <f t="shared" si="11"/>
        <v>1</v>
      </c>
      <c r="L36" s="22">
        <f t="shared" si="11"/>
        <v>1</v>
      </c>
    </row>
    <row r="38" spans="2:12" ht="12.75">
      <c r="B38" s="5"/>
      <c r="C38" s="5"/>
      <c r="D38" s="5"/>
      <c r="E38" s="5"/>
      <c r="F38" s="5"/>
      <c r="G38" s="5"/>
      <c r="H38" s="5"/>
      <c r="I38" s="5"/>
      <c r="J38" s="5"/>
      <c r="K38" s="5"/>
      <c r="L38" s="5"/>
    </row>
    <row r="39" spans="1:12" ht="12.75">
      <c r="A39" s="3" t="s">
        <v>49</v>
      </c>
      <c r="B39" s="10">
        <v>0</v>
      </c>
      <c r="C39" s="10">
        <f aca="true" t="shared" si="12" ref="C39:L39">$M$5+$I$5*(C11-$M$6)</f>
        <v>-948290.819243523</v>
      </c>
      <c r="D39" s="10">
        <f t="shared" si="12"/>
        <v>214027.58160169935</v>
      </c>
      <c r="E39" s="10">
        <f t="shared" si="12"/>
        <v>1498588.075760033</v>
      </c>
      <c r="F39" s="11">
        <f t="shared" si="12"/>
        <v>2918246.9764127065</v>
      </c>
      <c r="G39" s="11">
        <f t="shared" si="12"/>
        <v>4487212.707001286</v>
      </c>
      <c r="H39" s="10">
        <f t="shared" si="12"/>
        <v>6221188.003905095</v>
      </c>
      <c r="I39" s="10">
        <f t="shared" si="12"/>
        <v>8137527.074704772</v>
      </c>
      <c r="J39" s="10">
        <f t="shared" si="12"/>
        <v>10255409.284924686</v>
      </c>
      <c r="K39" s="10">
        <f t="shared" si="12"/>
        <v>12596031.111569509</v>
      </c>
      <c r="L39" s="10">
        <f t="shared" si="12"/>
        <v>15182818.284590466</v>
      </c>
    </row>
    <row r="40" spans="2:12" ht="12.75">
      <c r="B40" s="10"/>
      <c r="C40" s="10">
        <f aca="true" t="shared" si="13" ref="C40:L40">$M$5+$I$5*(C12-$M$6)</f>
        <v>-2951625.8196404045</v>
      </c>
      <c r="D40" s="10">
        <f t="shared" si="13"/>
        <v>-2000000</v>
      </c>
      <c r="E40" s="10">
        <f t="shared" si="13"/>
        <v>-948290.819243523</v>
      </c>
      <c r="F40" s="10">
        <f t="shared" si="13"/>
        <v>214027.58160169935</v>
      </c>
      <c r="G40" s="10">
        <f t="shared" si="13"/>
        <v>1498588.075760033</v>
      </c>
      <c r="H40" s="10">
        <f t="shared" si="13"/>
        <v>2918246.9764127065</v>
      </c>
      <c r="I40" s="10">
        <f t="shared" si="13"/>
        <v>4487212.707001286</v>
      </c>
      <c r="J40" s="10">
        <f t="shared" si="13"/>
        <v>6221188.003905095</v>
      </c>
      <c r="K40" s="10">
        <f t="shared" si="13"/>
        <v>8137527.074704772</v>
      </c>
      <c r="L40" s="10">
        <f t="shared" si="13"/>
        <v>10255409.284924686</v>
      </c>
    </row>
    <row r="41" spans="2:12" ht="12.75">
      <c r="B41" s="10"/>
      <c r="C41" s="10"/>
      <c r="D41" s="10">
        <f aca="true" t="shared" si="14" ref="D41:L41">$M$5+$I$5*(D13-$M$6)</f>
        <v>-3812692.4692201815</v>
      </c>
      <c r="E41" s="10">
        <f t="shared" si="14"/>
        <v>-2951625.8196404045</v>
      </c>
      <c r="F41" s="10">
        <f t="shared" si="14"/>
        <v>-2000000</v>
      </c>
      <c r="G41" s="10">
        <f t="shared" si="14"/>
        <v>-948290.819243523</v>
      </c>
      <c r="H41" s="10">
        <f t="shared" si="14"/>
        <v>214027.58160169935</v>
      </c>
      <c r="I41" s="10">
        <f t="shared" si="14"/>
        <v>1498588.075760033</v>
      </c>
      <c r="J41" s="10">
        <f t="shared" si="14"/>
        <v>2918246.9764127065</v>
      </c>
      <c r="K41" s="10">
        <f t="shared" si="14"/>
        <v>4487212.707001286</v>
      </c>
      <c r="L41" s="10">
        <f t="shared" si="14"/>
        <v>6221188.003905095</v>
      </c>
    </row>
    <row r="42" spans="2:12" ht="12.75">
      <c r="B42" s="10"/>
      <c r="C42" s="10"/>
      <c r="D42" s="10"/>
      <c r="E42" s="10">
        <f aca="true" t="shared" si="15" ref="E42:L42">$M$5+$I$5*(E14-$M$6)</f>
        <v>-4591817.793182822</v>
      </c>
      <c r="F42" s="10">
        <f t="shared" si="15"/>
        <v>-3812692.4692201815</v>
      </c>
      <c r="G42" s="10">
        <f t="shared" si="15"/>
        <v>-2951625.8196404045</v>
      </c>
      <c r="H42" s="10">
        <f t="shared" si="15"/>
        <v>-2000000</v>
      </c>
      <c r="I42" s="10">
        <f t="shared" si="15"/>
        <v>-948290.819243523</v>
      </c>
      <c r="J42" s="10">
        <f t="shared" si="15"/>
        <v>214027.58160169935</v>
      </c>
      <c r="K42" s="10">
        <f t="shared" si="15"/>
        <v>1498588.075760033</v>
      </c>
      <c r="L42" s="10">
        <f t="shared" si="15"/>
        <v>2918246.9764127065</v>
      </c>
    </row>
    <row r="43" spans="2:12" ht="12.75">
      <c r="B43" s="10"/>
      <c r="C43" s="10"/>
      <c r="D43" s="10"/>
      <c r="E43" s="10"/>
      <c r="F43" s="10">
        <f aca="true" t="shared" si="16" ref="F43:L43">$M$5+$I$5*(F15-$M$6)</f>
        <v>-5296799.539643608</v>
      </c>
      <c r="G43" s="10">
        <f t="shared" si="16"/>
        <v>-4591817.793182822</v>
      </c>
      <c r="H43" s="10">
        <f t="shared" si="16"/>
        <v>-3812692.4692201815</v>
      </c>
      <c r="I43" s="10">
        <f t="shared" si="16"/>
        <v>-2951625.8196404045</v>
      </c>
      <c r="J43" s="10">
        <f t="shared" si="16"/>
        <v>-2000000</v>
      </c>
      <c r="K43" s="10">
        <f t="shared" si="16"/>
        <v>-948290.819243523</v>
      </c>
      <c r="L43" s="10">
        <f t="shared" si="16"/>
        <v>214027.58160169935</v>
      </c>
    </row>
    <row r="44" spans="2:12" ht="12.75">
      <c r="B44" s="10"/>
      <c r="C44" s="10"/>
      <c r="D44" s="10"/>
      <c r="E44" s="10"/>
      <c r="F44" s="10"/>
      <c r="G44" s="11">
        <f aca="true" t="shared" si="17" ref="G44:L44">$M$5+$I$5*(G16-$M$6)</f>
        <v>-5934693.402873668</v>
      </c>
      <c r="H44" s="10">
        <f t="shared" si="17"/>
        <v>-5296799.539643608</v>
      </c>
      <c r="I44" s="10">
        <f t="shared" si="17"/>
        <v>-4591817.793182822</v>
      </c>
      <c r="J44" s="10">
        <f t="shared" si="17"/>
        <v>-3812692.4692201815</v>
      </c>
      <c r="K44" s="10">
        <f t="shared" si="17"/>
        <v>-2951625.8196404045</v>
      </c>
      <c r="L44" s="10">
        <f t="shared" si="17"/>
        <v>-2000000</v>
      </c>
    </row>
    <row r="45" spans="2:12" ht="12.75">
      <c r="B45" s="10"/>
      <c r="C45" s="10"/>
      <c r="D45" s="10"/>
      <c r="E45" s="10"/>
      <c r="F45" s="10"/>
      <c r="G45" s="10"/>
      <c r="H45" s="10">
        <f>$M$5+$I$5*(H17-$M$6)</f>
        <v>-6511883.639059738</v>
      </c>
      <c r="I45" s="38">
        <f>$M$5+$I$5*(I17-$M$6)</f>
        <v>-5934693.402873668</v>
      </c>
      <c r="J45" s="10">
        <f>$M$5+$I$5*(J17-$M$6)</f>
        <v>-5296799.539643608</v>
      </c>
      <c r="K45" s="10">
        <f>$M$5+$I$5*(K17-$M$6)</f>
        <v>-4591817.793182822</v>
      </c>
      <c r="L45" s="10">
        <f>$M$5+$I$5*(L17-$M$6)</f>
        <v>-3812692.4692201815</v>
      </c>
    </row>
    <row r="46" spans="2:12" ht="12.75">
      <c r="B46" s="10"/>
      <c r="C46" s="10"/>
      <c r="D46" s="10"/>
      <c r="E46" s="10"/>
      <c r="F46" s="10"/>
      <c r="G46" s="10"/>
      <c r="H46" s="10"/>
      <c r="I46" s="10">
        <f>$M$5+$I$5*(I18-$M$6)</f>
        <v>-7034146.962085907</v>
      </c>
      <c r="J46" s="10">
        <f>$M$5+$I$5*(J18-$M$6)</f>
        <v>-6511883.639059738</v>
      </c>
      <c r="K46" s="10">
        <f>$M$5+$I$5*(K18-$M$6)</f>
        <v>-5934693.402873668</v>
      </c>
      <c r="L46" s="10">
        <f>$M$5+$I$5*(L18-$M$6)</f>
        <v>-5296799.539643608</v>
      </c>
    </row>
    <row r="47" spans="2:12" ht="12.75">
      <c r="B47" s="10"/>
      <c r="C47" s="10"/>
      <c r="D47" s="10"/>
      <c r="E47" s="10"/>
      <c r="F47" s="10"/>
      <c r="G47" s="10"/>
      <c r="H47" s="10"/>
      <c r="I47" s="10"/>
      <c r="J47" s="10">
        <f>$M$5+$I$5*(J19-$M$6)</f>
        <v>-7506710.358827786</v>
      </c>
      <c r="K47" s="10">
        <f>$M$5+$I$5*(K19-$M$6)</f>
        <v>-7034146.962085907</v>
      </c>
      <c r="L47" s="10">
        <f>$M$5+$I$5*(L19-$M$6)</f>
        <v>-6511883.639059738</v>
      </c>
    </row>
    <row r="48" spans="2:12" ht="12.75">
      <c r="B48" s="10"/>
      <c r="C48" s="10"/>
      <c r="D48" s="10"/>
      <c r="E48" s="10"/>
      <c r="F48" s="10"/>
      <c r="G48" s="10"/>
      <c r="H48" s="10"/>
      <c r="I48" s="10"/>
      <c r="J48" s="10"/>
      <c r="K48" s="10">
        <f>$M$5+$I$5*(K20-$M$6)</f>
        <v>-7934303.402594012</v>
      </c>
      <c r="L48" s="10">
        <f>$M$5+$I$5*(L20-$M$6)</f>
        <v>-7506710.358827786</v>
      </c>
    </row>
    <row r="49" ht="12.75">
      <c r="L49" s="10">
        <f>$M$5+$I$5*(L21-$M$6)</f>
        <v>-8321205.588285579</v>
      </c>
    </row>
    <row r="50" ht="12.75">
      <c r="A50" s="1"/>
    </row>
    <row r="51" spans="9:32" ht="12.75">
      <c r="I51" s="18"/>
      <c r="J51" s="58" t="s">
        <v>15</v>
      </c>
      <c r="K51" s="58" t="s">
        <v>16</v>
      </c>
      <c r="L51" s="58" t="s">
        <v>17</v>
      </c>
      <c r="M51" s="70" t="s">
        <v>18</v>
      </c>
      <c r="N51" s="70"/>
      <c r="O51" s="70"/>
      <c r="P51" s="70"/>
      <c r="Q51" s="70"/>
      <c r="R51" s="70"/>
      <c r="S51" s="70"/>
      <c r="T51" s="70"/>
      <c r="U51" s="70"/>
      <c r="V51" s="70"/>
      <c r="W51" s="70"/>
      <c r="X51" s="70"/>
      <c r="Y51" s="70"/>
      <c r="Z51" s="70"/>
      <c r="AA51" s="70"/>
      <c r="AB51" s="70"/>
      <c r="AC51" s="70"/>
      <c r="AD51" s="70"/>
      <c r="AE51" s="70"/>
      <c r="AF51" s="70"/>
    </row>
    <row r="52" spans="1:32" ht="12.75">
      <c r="A52" s="3" t="s">
        <v>14</v>
      </c>
      <c r="B52" s="10">
        <f aca="true" t="shared" si="18" ref="B52:G55">B39/(1+$I$6)^B$9</f>
        <v>0</v>
      </c>
      <c r="C52" s="10">
        <f t="shared" si="18"/>
        <v>-846688.2314674311</v>
      </c>
      <c r="D52" s="10">
        <f t="shared" si="18"/>
        <v>170621.47767992612</v>
      </c>
      <c r="E52" s="10">
        <f t="shared" si="18"/>
        <v>1066665.391934699</v>
      </c>
      <c r="F52" s="10">
        <f t="shared" si="18"/>
        <v>1854598.710760512</v>
      </c>
      <c r="G52" s="10">
        <f t="shared" si="18"/>
        <v>2546164.997274284</v>
      </c>
      <c r="H52" s="10">
        <f>H39/(1+$I$6)^H$9</f>
        <v>3151847.453473336</v>
      </c>
      <c r="I52" s="18"/>
      <c r="J52" s="10">
        <f aca="true" t="shared" si="19" ref="J52:J58">L52*SUM(M52:AF52)</f>
        <v>1413720.6894406085</v>
      </c>
      <c r="K52" s="53">
        <f aca="true" t="shared" si="20" ref="K52:K58">L52*COUNT(M52:AF52)</f>
        <v>0.177978515625</v>
      </c>
      <c r="L52" s="53">
        <f>Prob_up^6*Prob_down^0</f>
        <v>0.177978515625</v>
      </c>
      <c r="M52" s="10">
        <f>B52+C52+D52+E52+F52+G52+H52</f>
        <v>7943209.799655326</v>
      </c>
      <c r="N52" s="10"/>
      <c r="O52" s="10"/>
      <c r="P52" s="10"/>
      <c r="Q52" s="10"/>
      <c r="R52" s="10"/>
      <c r="S52" s="10"/>
      <c r="T52" s="10"/>
      <c r="U52" s="10"/>
      <c r="V52" s="10"/>
      <c r="W52" s="10"/>
      <c r="X52" s="10"/>
      <c r="Y52" s="10"/>
      <c r="Z52" s="10"/>
      <c r="AA52" s="10"/>
      <c r="AB52" s="10"/>
      <c r="AC52" s="10"/>
      <c r="AD52" s="10"/>
      <c r="AE52" s="10"/>
      <c r="AF52" s="10"/>
    </row>
    <row r="53" spans="3:32" ht="12.75">
      <c r="C53" s="10">
        <f t="shared" si="18"/>
        <v>-2635380.196107504</v>
      </c>
      <c r="D53" s="10">
        <f t="shared" si="18"/>
        <v>-1594387.7551020405</v>
      </c>
      <c r="E53" s="10">
        <f t="shared" si="18"/>
        <v>-674974.6743203371</v>
      </c>
      <c r="F53" s="10">
        <f t="shared" si="18"/>
        <v>136018.39738514516</v>
      </c>
      <c r="G53" s="10">
        <f t="shared" si="18"/>
        <v>850339.1198459015</v>
      </c>
      <c r="H53" s="10">
        <f aca="true" t="shared" si="21" ref="F53:H58">H40/(1+$I$6)^H$9</f>
        <v>1478474.7375322955</v>
      </c>
      <c r="I53" s="18"/>
      <c r="J53" s="10">
        <f t="shared" si="19"/>
        <v>695417.9002782208</v>
      </c>
      <c r="K53" s="53">
        <f t="shared" si="20"/>
        <v>0.35595703125</v>
      </c>
      <c r="L53" s="53">
        <f>Prob_up^5*Prob_down^1</f>
        <v>0.059326171875</v>
      </c>
      <c r="M53" s="10">
        <f>B52+C52+D52+E52+F52+G52+H53</f>
        <v>6269837.083714285</v>
      </c>
      <c r="N53" s="10">
        <f>B52+C52+D52+E52+F52+G53+H53</f>
        <v>4574011.206285903</v>
      </c>
      <c r="O53" s="10">
        <f>B52+C52+D52+E52+F53+G53+H53</f>
        <v>2855430.8929105364</v>
      </c>
      <c r="P53" s="10">
        <f>B52+C52+D52+E53+F53+G53+H53</f>
        <v>1113790.8266555</v>
      </c>
      <c r="Q53" s="10">
        <f>B52+C52+D53+E53+F53+G53+H53</f>
        <v>-651218.4061264668</v>
      </c>
      <c r="R53" s="10">
        <f>B52+C53+D53+E53+F53+G53+H53</f>
        <v>-2439910.370766539</v>
      </c>
      <c r="S53" s="10"/>
      <c r="T53" s="10"/>
      <c r="U53" s="10"/>
      <c r="V53" s="10"/>
      <c r="W53" s="10"/>
      <c r="X53" s="10"/>
      <c r="Y53" s="10"/>
      <c r="Z53" s="10"/>
      <c r="AA53" s="10"/>
      <c r="AB53" s="10"/>
      <c r="AC53" s="10"/>
      <c r="AD53" s="10"/>
      <c r="AE53" s="10"/>
      <c r="AF53" s="10"/>
    </row>
    <row r="54" spans="4:32" ht="12.75">
      <c r="D54" s="10">
        <f t="shared" si="18"/>
        <v>-3039455.0934472107</v>
      </c>
      <c r="E54" s="10">
        <f t="shared" si="18"/>
        <v>-2100908.9573561093</v>
      </c>
      <c r="F54" s="10">
        <f t="shared" si="18"/>
        <v>-1271036.1568096622</v>
      </c>
      <c r="G54" s="10">
        <f t="shared" si="18"/>
        <v>-538085.6778701667</v>
      </c>
      <c r="H54" s="10">
        <f t="shared" si="21"/>
        <v>108433.03362973942</v>
      </c>
      <c r="I54" s="18"/>
      <c r="J54" s="10">
        <f t="shared" si="19"/>
        <v>-984384.3592337453</v>
      </c>
      <c r="K54" s="53">
        <f t="shared" si="20"/>
        <v>0.296630859375</v>
      </c>
      <c r="L54" s="53">
        <f>Prob_up^4*Prob_down^2</f>
        <v>0.019775390625</v>
      </c>
      <c r="M54" s="10">
        <f>B52+C52+D52+E52+F52+G53+H54</f>
        <v>3203969.5023833467</v>
      </c>
      <c r="N54" s="10">
        <f>B52+C52+D52+E52+F53+G53+H54</f>
        <v>1485389.18900798</v>
      </c>
      <c r="O54" s="10">
        <f>B52+C52+D52+E52+F53+G54+H54</f>
        <v>96964.39129191183</v>
      </c>
      <c r="P54" s="10">
        <f>B52+C52+D52+E53+F53+G53+H54</f>
        <v>-256250.8772470561</v>
      </c>
      <c r="Q54" s="10">
        <f>B52+C52+D52+E53+F53+G54+H54</f>
        <v>-1644675.6749631243</v>
      </c>
      <c r="R54" s="10">
        <f>B52+C52+D52+E53+F54+G54+H54</f>
        <v>-3051730.229157931</v>
      </c>
      <c r="S54" s="10">
        <f>B52+C52+D53+E53+F53+G53+H54</f>
        <v>-2021260.110029023</v>
      </c>
      <c r="T54" s="10">
        <f>B52+C52+D53+E53+F53+G54+H54</f>
        <v>-3409684.9077450912</v>
      </c>
      <c r="U54" s="10">
        <f>B52+C52+D53+E53+F54+G54+H54</f>
        <v>-4816739.461939898</v>
      </c>
      <c r="V54" s="10">
        <f>B52+C52+D53+E54+F54+G54+H54</f>
        <v>-6242673.74497567</v>
      </c>
      <c r="W54" s="10">
        <f>B52+C53+D53+E53+F53+G53+H54</f>
        <v>-3809952.0746690948</v>
      </c>
      <c r="X54" s="10">
        <f>B52+C53+D53+E53+F53+G54+H54</f>
        <v>-5198376.872385163</v>
      </c>
      <c r="Y54" s="10">
        <f>B52+C53+D53+E53+F54+G54+H54</f>
        <v>-6605431.426579971</v>
      </c>
      <c r="Z54" s="10">
        <f>B52+C53+D53+E54+F54+G54+H54</f>
        <v>-8031365.709615743</v>
      </c>
      <c r="AA54" s="10">
        <f>B52+C53+D54+E54+F54+G54+H54</f>
        <v>-9476433.047960915</v>
      </c>
      <c r="AB54" s="10"/>
      <c r="AC54" s="10"/>
      <c r="AD54" s="10"/>
      <c r="AE54" s="10"/>
      <c r="AF54" s="10"/>
    </row>
    <row r="55" spans="5:32" ht="12.75">
      <c r="E55" s="10">
        <f t="shared" si="18"/>
        <v>-3268365.2067456986</v>
      </c>
      <c r="F55" s="10">
        <f t="shared" si="18"/>
        <v>-2423034.9915873804</v>
      </c>
      <c r="G55" s="10">
        <f t="shared" si="18"/>
        <v>-1674831.758096388</v>
      </c>
      <c r="H55" s="10">
        <f t="shared" si="21"/>
        <v>-1013262.2423546413</v>
      </c>
      <c r="I55" s="18"/>
      <c r="J55" s="10">
        <f t="shared" si="19"/>
        <v>-1050786.7631008502</v>
      </c>
      <c r="K55" s="53">
        <f t="shared" si="20"/>
        <v>0.1318359375</v>
      </c>
      <c r="L55" s="53">
        <f>Prob_up^3*Prob_down^3</f>
        <v>0.006591796875</v>
      </c>
      <c r="M55" s="10">
        <f>B52+C52+D52+E52+F53+G54+H55</f>
        <v>-1024730.8846924689</v>
      </c>
      <c r="N55" s="10">
        <f>B52++C52+D52+E53+F53+G54+H55</f>
        <v>-2766370.950947505</v>
      </c>
      <c r="O55" s="10">
        <f>B52+C52+D52+E53++F54+G54+H55</f>
        <v>-4173425.505142312</v>
      </c>
      <c r="P55" s="10">
        <f>B52+C52+D52+E53+F54+G55+H55</f>
        <v>-5310171.585368534</v>
      </c>
      <c r="Q55" s="10">
        <f>B52+C52+D53+E53+F53+G54+H55</f>
        <v>-4531380.183729473</v>
      </c>
      <c r="R55" s="10">
        <f>B52+C52+D53+E53+F54+G54+H55</f>
        <v>-5938434.73792428</v>
      </c>
      <c r="S55" s="10">
        <f>B52+C52+D53+E53+F54+G55+H55</f>
        <v>-7075180.818150501</v>
      </c>
      <c r="T55" s="10">
        <f>B52+C52+D53+E54+F54+G54+H55</f>
        <v>-7364369.020960052</v>
      </c>
      <c r="U55" s="10">
        <f>B52+C52+D53+E54+F54+G55+H55</f>
        <v>-8501115.101186272</v>
      </c>
      <c r="V55" s="10">
        <f>B52+C52+D53+E54+F55+G55+H55</f>
        <v>-9653113.93596399</v>
      </c>
      <c r="W55" s="10">
        <f>B52+C53+D53+E53+F53+G54+H55</f>
        <v>-6320072.148369544</v>
      </c>
      <c r="X55" s="10">
        <f>B52+C53+D53+E53+F54+G54+H55</f>
        <v>-7727126.702564352</v>
      </c>
      <c r="Y55" s="10">
        <f>B52+C53+D53+E53+F54+G55+H55</f>
        <v>-8863872.782790573</v>
      </c>
      <c r="Z55" s="10">
        <f>B52+C53+D53+E54+F54+G54+H55</f>
        <v>-9153060.985600123</v>
      </c>
      <c r="AA55" s="10">
        <f>B52+C53+D53+E54+F54+G55+H55</f>
        <v>-10289807.065826345</v>
      </c>
      <c r="AB55" s="10">
        <f>B52+C53+D53+E54+F55+G55+H55</f>
        <v>-11441805.900604062</v>
      </c>
      <c r="AC55" s="10">
        <f>B52+C53+D54+E54+F54+G54+H55</f>
        <v>-10598128.323945295</v>
      </c>
      <c r="AD55" s="10">
        <f>B52+C53+D54+E54+F54+G55+H55</f>
        <v>-11734874.404171515</v>
      </c>
      <c r="AE55" s="10">
        <f>B52+C53+D54+E54+F55+G55+H55</f>
        <v>-12886873.238949234</v>
      </c>
      <c r="AF55" s="10">
        <f>B52+C53+D54+E55+F55+G55+H55</f>
        <v>-14054329.488338822</v>
      </c>
    </row>
    <row r="56" spans="6:32" ht="12.75">
      <c r="F56" s="10">
        <f t="shared" si="21"/>
        <v>-3366211.8651299</v>
      </c>
      <c r="G56" s="10">
        <f t="shared" si="21"/>
        <v>-2605520.732418446</v>
      </c>
      <c r="H56" s="10">
        <f t="shared" si="21"/>
        <v>-1931628.6603853477</v>
      </c>
      <c r="I56" s="18"/>
      <c r="J56" s="10">
        <f t="shared" si="19"/>
        <v>-398306.5013433652</v>
      </c>
      <c r="K56" s="53">
        <f t="shared" si="20"/>
        <v>0.032958984375</v>
      </c>
      <c r="L56" s="53">
        <f>Prob_up^2*Prob_down^4</f>
        <v>0.002197265625</v>
      </c>
      <c r="M56" s="10">
        <f>B52+C52+D52+E53+F54+G55+H56</f>
        <v>-6228538.00339924</v>
      </c>
      <c r="N56" s="10">
        <f>B52+C52+D53+E53+F54+G55+H56</f>
        <v>-7993547.236181207</v>
      </c>
      <c r="O56" s="10">
        <f>B52+C52+D53+E54+F54+G55+H56</f>
        <v>-9419481.519216979</v>
      </c>
      <c r="P56" s="10">
        <f>B52+C52+D53+E54+F55+G55+H56</f>
        <v>-10571480.353994697</v>
      </c>
      <c r="Q56" s="10">
        <f>B52+C52+D53+E54+F55+G56+H56</f>
        <v>-11502169.328316756</v>
      </c>
      <c r="R56" s="10">
        <f>B52+C53+D53+E53+F54+G55+H56</f>
        <v>-9782239.20082128</v>
      </c>
      <c r="S56" s="10">
        <f>B52+C53+D53+E54++F54+G55+H56</f>
        <v>-11208173.483857052</v>
      </c>
      <c r="T56" s="10">
        <f>B52+C53+D53+E54+F55++G55+H56</f>
        <v>-12360172.318634769</v>
      </c>
      <c r="U56" s="10">
        <f>B52+C53+D53+E54+F55+G56+H56</f>
        <v>-13290861.292956827</v>
      </c>
      <c r="V56" s="10">
        <f>B52+C53+D54+E54+F54+G55+H56</f>
        <v>-12653240.822202222</v>
      </c>
      <c r="W56" s="10">
        <f>B52+C53+D54+E54++F55+G55+H56</f>
        <v>-13805239.65697994</v>
      </c>
      <c r="X56" s="10">
        <f>B52+C53+D54+E54+F55+G56+H56</f>
        <v>-14735928.631302</v>
      </c>
      <c r="Y56" s="10">
        <f>B52+C53+D54+E55+F55+G55+H56</f>
        <v>-14972695.90636953</v>
      </c>
      <c r="Z56" s="10">
        <f>B52+C53+D54+E55+F55+G56+H56</f>
        <v>-15903384.880691588</v>
      </c>
      <c r="AA56" s="10">
        <f>B52+C53+D54+E55+F56+G56+H56</f>
        <v>-16846561.754234105</v>
      </c>
      <c r="AB56" s="10"/>
      <c r="AC56" s="10"/>
      <c r="AD56" s="10"/>
      <c r="AE56" s="10"/>
      <c r="AF56" s="10"/>
    </row>
    <row r="57" spans="7:32" ht="12.75">
      <c r="G57" s="10">
        <f t="shared" si="21"/>
        <v>-3367504.4172465196</v>
      </c>
      <c r="H57" s="10">
        <f t="shared" si="21"/>
        <v>-2683523.489421157</v>
      </c>
      <c r="I57" s="18"/>
      <c r="J57" s="10">
        <f t="shared" si="19"/>
        <v>-69139.76096248413</v>
      </c>
      <c r="K57" s="53">
        <f t="shared" si="20"/>
        <v>0.00439453125</v>
      </c>
      <c r="L57" s="53">
        <f>Prob_up^1*Prob_down^5</f>
        <v>0.000732421875</v>
      </c>
      <c r="M57" s="10">
        <f>B52+C52+D53+E54+F55+G56+H57</f>
        <v>-12254064.157352565</v>
      </c>
      <c r="N57" s="10">
        <f>B52+C53+D53+E54+F55+G56+H57</f>
        <v>-14042756.121992636</v>
      </c>
      <c r="O57" s="10">
        <f>B52+C53+D54+E54+F55+G56+H57</f>
        <v>-15487823.460337808</v>
      </c>
      <c r="P57" s="10">
        <f>B52+C53+D54+E55+F55+G56+H57</f>
        <v>-16655279.709727397</v>
      </c>
      <c r="Q57" s="10">
        <f>B52+C53+D54+E55+F56+G56+H57</f>
        <v>-17598456.583269916</v>
      </c>
      <c r="R57" s="10">
        <f>B52+C53+D54+E55+F56+G57+H57</f>
        <v>-18360440.26809799</v>
      </c>
      <c r="S57" s="10"/>
      <c r="T57" s="10"/>
      <c r="U57" s="10"/>
      <c r="V57" s="10"/>
      <c r="W57" s="10"/>
      <c r="X57" s="10"/>
      <c r="Y57" s="10"/>
      <c r="Z57" s="10"/>
      <c r="AA57" s="10"/>
      <c r="AB57" s="10"/>
      <c r="AC57" s="10"/>
      <c r="AD57" s="10"/>
      <c r="AE57" s="10"/>
      <c r="AF57" s="10"/>
    </row>
    <row r="58" spans="8:32" ht="12.75">
      <c r="H58" s="10">
        <f t="shared" si="21"/>
        <v>-3299122.909033086</v>
      </c>
      <c r="I58" s="18"/>
      <c r="J58" s="10">
        <f t="shared" si="19"/>
        <v>-4632.822189382305</v>
      </c>
      <c r="K58" s="53">
        <f t="shared" si="20"/>
        <v>0.000244140625</v>
      </c>
      <c r="L58" s="53">
        <f>Prob_up^0*Prob_down^6</f>
        <v>0.000244140625</v>
      </c>
      <c r="M58" s="10">
        <f>B52+C53+D54+E55+F56+G57+H58</f>
        <v>-18976039.68770992</v>
      </c>
      <c r="N58" s="10"/>
      <c r="O58" s="10"/>
      <c r="P58" s="10"/>
      <c r="Q58" s="10"/>
      <c r="R58" s="10"/>
      <c r="S58" s="10"/>
      <c r="T58" s="10"/>
      <c r="U58" s="10"/>
      <c r="V58" s="10"/>
      <c r="W58" s="10"/>
      <c r="X58" s="10"/>
      <c r="Y58" s="10"/>
      <c r="Z58" s="10"/>
      <c r="AA58" s="10"/>
      <c r="AB58" s="10"/>
      <c r="AC58" s="10"/>
      <c r="AD58" s="10"/>
      <c r="AE58" s="10"/>
      <c r="AF58" s="10"/>
    </row>
    <row r="59" spans="1:32" ht="12.75">
      <c r="A59" s="1"/>
      <c r="I59" s="18"/>
      <c r="J59" s="10">
        <f>SUM(J52:J58)</f>
        <v>-398111.61711099773</v>
      </c>
      <c r="K59" s="53">
        <f>SUM(K52:K58)</f>
        <v>1</v>
      </c>
      <c r="L59" s="10"/>
      <c r="M59" s="10"/>
      <c r="N59" s="10"/>
      <c r="O59" s="10"/>
      <c r="P59" s="10"/>
      <c r="Q59" s="10"/>
      <c r="R59" s="10"/>
      <c r="S59" s="10"/>
      <c r="T59" s="10"/>
      <c r="U59" s="10"/>
      <c r="V59" s="10"/>
      <c r="W59" s="10"/>
      <c r="X59" s="10"/>
      <c r="Y59" s="10"/>
      <c r="Z59" s="10"/>
      <c r="AA59" s="10"/>
      <c r="AB59" s="10"/>
      <c r="AC59" s="10"/>
      <c r="AD59" s="10"/>
      <c r="AE59" s="10"/>
      <c r="AF59" s="10"/>
    </row>
    <row r="60" ht="12.75" outlineLevel="1"/>
    <row r="61" spans="1:12" ht="12.75" outlineLevel="1">
      <c r="A61" s="3" t="s">
        <v>9</v>
      </c>
      <c r="B61" s="10">
        <f aca="true" t="shared" si="22" ref="B61:L61">B39*B24</f>
        <v>0</v>
      </c>
      <c r="C61" s="10">
        <f t="shared" si="22"/>
        <v>-711218.1144326422</v>
      </c>
      <c r="D61" s="10">
        <f t="shared" si="22"/>
        <v>120390.51465095588</v>
      </c>
      <c r="E61" s="10">
        <f t="shared" si="22"/>
        <v>632216.8444612639</v>
      </c>
      <c r="F61" s="10">
        <f t="shared" si="22"/>
        <v>923351.5823805829</v>
      </c>
      <c r="G61" s="10">
        <f t="shared" si="22"/>
        <v>1064836.6091809692</v>
      </c>
      <c r="H61" s="10">
        <f t="shared" si="22"/>
        <v>1107237.8063590855</v>
      </c>
      <c r="I61" s="10">
        <f t="shared" si="22"/>
        <v>1086228.742210653</v>
      </c>
      <c r="J61" s="10">
        <f t="shared" si="22"/>
        <v>1026698.9184324777</v>
      </c>
      <c r="K61" s="10">
        <f t="shared" si="22"/>
        <v>945769.0443764597</v>
      </c>
      <c r="L61" s="10">
        <f t="shared" si="22"/>
        <v>854997.8608005357</v>
      </c>
    </row>
    <row r="62" spans="1:12" ht="12.75" outlineLevel="1">
      <c r="A62" s="3" t="s">
        <v>10</v>
      </c>
      <c r="C62" s="10">
        <f aca="true" t="shared" si="23" ref="C62:L62">C40*C25</f>
        <v>-737906.4549101011</v>
      </c>
      <c r="D62" s="10">
        <f t="shared" si="23"/>
        <v>-750000</v>
      </c>
      <c r="E62" s="10">
        <f t="shared" si="23"/>
        <v>-400060.18936836126</v>
      </c>
      <c r="F62" s="10">
        <f t="shared" si="23"/>
        <v>90292.8859882169</v>
      </c>
      <c r="G62" s="10">
        <f t="shared" si="23"/>
        <v>592703.291682435</v>
      </c>
      <c r="H62" s="10">
        <f t="shared" si="23"/>
        <v>1038770.5301781558</v>
      </c>
      <c r="I62" s="10">
        <f t="shared" si="23"/>
        <v>1397598.049550022</v>
      </c>
      <c r="J62" s="10">
        <f t="shared" si="23"/>
        <v>1660856.7095386283</v>
      </c>
      <c r="K62" s="10">
        <f t="shared" si="23"/>
        <v>1833011.0024804766</v>
      </c>
      <c r="L62" s="10">
        <f t="shared" si="23"/>
        <v>1925060.4720608958</v>
      </c>
    </row>
    <row r="63" spans="1:12" ht="12.75" outlineLevel="1">
      <c r="A63" s="3" t="s">
        <v>49</v>
      </c>
      <c r="C63" s="10"/>
      <c r="D63" s="10">
        <f aca="true" t="shared" si="24" ref="D63:L63">D41*D26</f>
        <v>-238293.27932626134</v>
      </c>
      <c r="E63" s="10">
        <f t="shared" si="24"/>
        <v>-415072.3808869319</v>
      </c>
      <c r="F63" s="10">
        <f t="shared" si="24"/>
        <v>-421875</v>
      </c>
      <c r="G63" s="10">
        <f t="shared" si="24"/>
        <v>-250037.61835522577</v>
      </c>
      <c r="H63" s="10">
        <f t="shared" si="24"/>
        <v>63487.185460465014</v>
      </c>
      <c r="I63" s="10">
        <f t="shared" si="24"/>
        <v>466753.8421999175</v>
      </c>
      <c r="J63" s="10">
        <f t="shared" si="24"/>
        <v>908924.2139058863</v>
      </c>
      <c r="K63" s="10">
        <f t="shared" si="24"/>
        <v>1347683.8334946642</v>
      </c>
      <c r="L63" s="10">
        <f t="shared" si="24"/>
        <v>1751684.810841522</v>
      </c>
    </row>
    <row r="64" spans="3:12" ht="12.75" outlineLevel="1">
      <c r="C64" s="10"/>
      <c r="D64" s="10"/>
      <c r="E64" s="10">
        <f aca="true" t="shared" si="25" ref="E64:L64">E42*E27</f>
        <v>-71747.1530184816</v>
      </c>
      <c r="F64" s="10">
        <f t="shared" si="25"/>
        <v>-178719.959494696</v>
      </c>
      <c r="G64" s="10">
        <f t="shared" si="25"/>
        <v>-259420.23805433244</v>
      </c>
      <c r="H64" s="10">
        <f t="shared" si="25"/>
        <v>-263671.875</v>
      </c>
      <c r="I64" s="10">
        <f t="shared" si="25"/>
        <v>-164087.1870456169</v>
      </c>
      <c r="J64" s="10">
        <f t="shared" si="25"/>
        <v>44441.02982232551</v>
      </c>
      <c r="K64" s="10">
        <f t="shared" si="25"/>
        <v>350065.3816499381</v>
      </c>
      <c r="L64" s="10">
        <f t="shared" si="25"/>
        <v>730385.5290315158</v>
      </c>
    </row>
    <row r="65" spans="3:12" ht="12.75" outlineLevel="1">
      <c r="C65" s="10"/>
      <c r="D65" s="10"/>
      <c r="E65" s="10"/>
      <c r="F65" s="10">
        <f aca="true" t="shared" si="26" ref="F65:L65">F43*F28</f>
        <v>-20690.623201732844</v>
      </c>
      <c r="G65" s="10">
        <f t="shared" si="26"/>
        <v>-67262.9559548265</v>
      </c>
      <c r="H65" s="10">
        <f t="shared" si="26"/>
        <v>-125662.47151970812</v>
      </c>
      <c r="I65" s="10">
        <f t="shared" si="26"/>
        <v>-170244.53122315565</v>
      </c>
      <c r="J65" s="10">
        <f t="shared" si="26"/>
        <v>-173034.66796875</v>
      </c>
      <c r="K65" s="10">
        <f t="shared" si="26"/>
        <v>-110758.85125579142</v>
      </c>
      <c r="L65" s="10">
        <f t="shared" si="26"/>
        <v>31247.599093822624</v>
      </c>
    </row>
    <row r="66" spans="3:12" ht="12.75" outlineLevel="1">
      <c r="C66" s="10"/>
      <c r="D66" s="10"/>
      <c r="E66" s="10"/>
      <c r="F66" s="10"/>
      <c r="G66" s="10">
        <f aca="true" t="shared" si="27" ref="G66:L66">G44*G29</f>
        <v>-5795.599026243816</v>
      </c>
      <c r="H66" s="10">
        <f t="shared" si="27"/>
        <v>-23276.95110194945</v>
      </c>
      <c r="I66" s="10">
        <f t="shared" si="27"/>
        <v>-52969.577814425866</v>
      </c>
      <c r="J66" s="10">
        <f t="shared" si="27"/>
        <v>-87963.7300637957</v>
      </c>
      <c r="K66" s="10">
        <f t="shared" si="27"/>
        <v>-114915.05857563007</v>
      </c>
      <c r="L66" s="10">
        <f t="shared" si="27"/>
        <v>-116798.40087890625</v>
      </c>
    </row>
    <row r="67" spans="3:12" ht="12.75" outlineLevel="1">
      <c r="C67" s="10"/>
      <c r="D67" s="10"/>
      <c r="E67" s="10"/>
      <c r="F67" s="10"/>
      <c r="G67" s="10"/>
      <c r="H67" s="10">
        <f>H45*H30</f>
        <v>-1589.815341567319</v>
      </c>
      <c r="I67" s="10">
        <f>I45*I30</f>
        <v>-7606.723721945009</v>
      </c>
      <c r="J67" s="10">
        <f>J45*J30</f>
        <v>-20367.33221420577</v>
      </c>
      <c r="K67" s="10">
        <f>K45*K30</f>
        <v>-39727.1833608194</v>
      </c>
      <c r="L67" s="10">
        <f>L45*L30</f>
        <v>-61849.497701106346</v>
      </c>
    </row>
    <row r="68" spans="3:12" ht="12.75" outlineLevel="1">
      <c r="C68" s="10"/>
      <c r="D68" s="10"/>
      <c r="E68" s="10"/>
      <c r="F68" s="10"/>
      <c r="G68" s="10"/>
      <c r="H68" s="10"/>
      <c r="I68" s="10">
        <f>I46*I31</f>
        <v>-429.3302589163762</v>
      </c>
      <c r="J68" s="10">
        <f>J46*J31</f>
        <v>-2384.7230123509785</v>
      </c>
      <c r="K68" s="10">
        <f>K46*K31</f>
        <v>-7335.05501758983</v>
      </c>
      <c r="L68" s="10">
        <f>L46*L31</f>
        <v>-16366.606243558206</v>
      </c>
    </row>
    <row r="69" spans="3:12" ht="12.75" outlineLevel="1">
      <c r="C69" s="10"/>
      <c r="D69" s="10"/>
      <c r="E69" s="10"/>
      <c r="F69" s="10"/>
      <c r="G69" s="10"/>
      <c r="H69" s="10"/>
      <c r="I69" s="10"/>
      <c r="J69" s="10">
        <f>J47*J32</f>
        <v>-114.54330991863687</v>
      </c>
      <c r="K69" s="10">
        <f>K47*K32</f>
        <v>-724.4948119213848</v>
      </c>
      <c r="L69" s="10">
        <f>L47*L32</f>
        <v>-2515.1375520889223</v>
      </c>
    </row>
    <row r="70" spans="3:12" ht="12.75" outlineLevel="1">
      <c r="C70" s="10"/>
      <c r="D70" s="10"/>
      <c r="E70" s="10"/>
      <c r="F70" s="10"/>
      <c r="G70" s="10"/>
      <c r="H70" s="10"/>
      <c r="I70" s="10"/>
      <c r="J70" s="10"/>
      <c r="K70" s="10">
        <f>K48*K33</f>
        <v>-30.266965494514512</v>
      </c>
      <c r="L70" s="10">
        <f>L48*L33</f>
        <v>-214.76870609744412</v>
      </c>
    </row>
    <row r="71" spans="3:12" ht="12.75" outlineLevel="1">
      <c r="C71" s="10"/>
      <c r="D71" s="10"/>
      <c r="E71" s="10"/>
      <c r="F71" s="10"/>
      <c r="G71" s="10"/>
      <c r="H71" s="10"/>
      <c r="I71" s="10"/>
      <c r="J71" s="10"/>
      <c r="K71" s="10"/>
      <c r="L71" s="10">
        <f>L49*L34</f>
        <v>-7.935720051084117</v>
      </c>
    </row>
    <row r="72" spans="3:12" ht="12.75" outlineLevel="1">
      <c r="C72" s="10"/>
      <c r="D72" s="10"/>
      <c r="E72" s="10"/>
      <c r="F72" s="10"/>
      <c r="G72" s="10"/>
      <c r="H72" s="10"/>
      <c r="I72" s="10"/>
      <c r="J72" s="10"/>
      <c r="K72" s="10"/>
      <c r="L72" s="10"/>
    </row>
    <row r="73" spans="2:12" ht="12.75" outlineLevel="1">
      <c r="B73" s="1">
        <v>0</v>
      </c>
      <c r="C73" s="12">
        <v>1</v>
      </c>
      <c r="D73" s="1">
        <v>2</v>
      </c>
      <c r="E73" s="12">
        <v>3</v>
      </c>
      <c r="F73" s="1">
        <v>4</v>
      </c>
      <c r="G73" s="12">
        <v>5</v>
      </c>
      <c r="H73" s="1">
        <v>6</v>
      </c>
      <c r="I73" s="12">
        <v>7</v>
      </c>
      <c r="J73" s="1">
        <v>8</v>
      </c>
      <c r="K73" s="12">
        <v>9</v>
      </c>
      <c r="L73" s="1">
        <v>10</v>
      </c>
    </row>
    <row r="74" spans="1:12" ht="12.75" outlineLevel="1">
      <c r="A74" t="s">
        <v>50</v>
      </c>
      <c r="B74" s="10">
        <f aca="true" t="shared" si="28" ref="B74:L74">SUM(B61:B72)</f>
        <v>0</v>
      </c>
      <c r="C74" s="10">
        <f t="shared" si="28"/>
        <v>-1449124.5693427434</v>
      </c>
      <c r="D74" s="10">
        <f t="shared" si="28"/>
        <v>-867902.7646753055</v>
      </c>
      <c r="E74" s="10">
        <f t="shared" si="28"/>
        <v>-254662.8788125109</v>
      </c>
      <c r="F74" s="10">
        <f t="shared" si="28"/>
        <v>392358.885672371</v>
      </c>
      <c r="G74" s="10">
        <f t="shared" si="28"/>
        <v>1075023.4894727755</v>
      </c>
      <c r="H74" s="10">
        <f t="shared" si="28"/>
        <v>1795294.409034481</v>
      </c>
      <c r="I74" s="10">
        <f t="shared" si="28"/>
        <v>2555243.283896532</v>
      </c>
      <c r="J74" s="10">
        <f t="shared" si="28"/>
        <v>3357055.8751302967</v>
      </c>
      <c r="K74" s="10">
        <f t="shared" si="28"/>
        <v>4203038.352014292</v>
      </c>
      <c r="L74" s="10">
        <f t="shared" si="28"/>
        <v>5095623.925026484</v>
      </c>
    </row>
    <row r="75" spans="1:12" ht="12.75" outlineLevel="1">
      <c r="A75" t="s">
        <v>51</v>
      </c>
      <c r="B75" s="10">
        <f aca="true" t="shared" si="29" ref="B75:L75">B74/(1+$I$6)^B73</f>
        <v>0</v>
      </c>
      <c r="C75" s="14">
        <f t="shared" si="29"/>
        <v>-1293861.2226274493</v>
      </c>
      <c r="D75" s="15">
        <f t="shared" si="29"/>
        <v>-691886.7703087574</v>
      </c>
      <c r="E75" s="15">
        <f t="shared" si="29"/>
        <v>-181264.00699004563</v>
      </c>
      <c r="F75" s="15">
        <f t="shared" si="29"/>
        <v>249351.16506756606</v>
      </c>
      <c r="G75" s="15">
        <f t="shared" si="29"/>
        <v>609997.1984551736</v>
      </c>
      <c r="H75" s="16">
        <f t="shared" si="29"/>
        <v>909552.0192925144</v>
      </c>
      <c r="I75" s="10">
        <f t="shared" si="29"/>
        <v>1155862.2944654631</v>
      </c>
      <c r="J75" s="10">
        <f t="shared" si="29"/>
        <v>1355858.5633547301</v>
      </c>
      <c r="K75" s="10">
        <f t="shared" si="29"/>
        <v>1515657.7651184108</v>
      </c>
      <c r="L75" s="10">
        <f t="shared" si="29"/>
        <v>1640654.527589763</v>
      </c>
    </row>
    <row r="76" spans="1:12" ht="12.75" outlineLevel="1">
      <c r="A76" t="s">
        <v>43</v>
      </c>
      <c r="B76" s="19">
        <f>SUM(B75:H75)</f>
        <v>-398111.61711099825</v>
      </c>
      <c r="C76" s="10"/>
      <c r="D76" s="10"/>
      <c r="E76" s="10"/>
      <c r="F76" s="10"/>
      <c r="G76" s="10"/>
      <c r="H76" s="10"/>
      <c r="J76" s="10"/>
      <c r="K76" s="10"/>
      <c r="L76" s="10"/>
    </row>
    <row r="77" spans="1:2" ht="12.75" outlineLevel="1">
      <c r="A77" t="s">
        <v>44</v>
      </c>
      <c r="B77" s="13">
        <f>SUM(B75:L75)</f>
        <v>5269921.533417368</v>
      </c>
    </row>
    <row r="78" ht="12.75" outlineLevel="2"/>
    <row r="79" spans="1:12" ht="12.75" outlineLevel="1">
      <c r="A79" s="44" t="s">
        <v>52</v>
      </c>
      <c r="B79" s="10">
        <f aca="true" t="shared" si="30" ref="B79:G79">(Prob_up*C79+Prob_down*C80)/(1+$I$6)+B39</f>
        <v>-398111.6171109976</v>
      </c>
      <c r="C79" s="10">
        <f t="shared" si="30"/>
        <v>2155928.831072717</v>
      </c>
      <c r="D79" s="10">
        <f t="shared" si="30"/>
        <v>5941521.62275848</v>
      </c>
      <c r="E79" s="10">
        <f t="shared" si="30"/>
        <v>8657049.723521806</v>
      </c>
      <c r="F79" s="10">
        <f t="shared" si="30"/>
        <v>9930365.062585678</v>
      </c>
      <c r="G79" s="10">
        <f t="shared" si="30"/>
        <v>9304581.231136996</v>
      </c>
      <c r="H79" s="10">
        <f aca="true" t="shared" si="31" ref="H79:H85">H39</f>
        <v>6221188.003905095</v>
      </c>
      <c r="I79" s="43"/>
      <c r="J79" s="17"/>
      <c r="K79" s="17"/>
      <c r="L79" s="17"/>
    </row>
    <row r="80" spans="1:12" ht="12.75" outlineLevel="1">
      <c r="A80" s="3" t="s">
        <v>37</v>
      </c>
      <c r="C80" s="10">
        <f>(Prob_up*D80+Prob_down*D81)/(1+$I$6)+C40</f>
        <v>-8251326.53787542</v>
      </c>
      <c r="D80" s="10">
        <f>(Prob_up*E80+Prob_down*E81)/(1+$I$6)+D40</f>
        <v>-3917660.834858686</v>
      </c>
      <c r="E80" s="10">
        <f>(Prob_up*F80+Prob_down*F81)/(1+$I$6)+E40</f>
        <v>-311975.86618304334</v>
      </c>
      <c r="F80" s="10">
        <f>(Prob_up*G80+Prob_down*G81)/(1+$I$6)+F40</f>
        <v>2278812.9942157185</v>
      </c>
      <c r="G80" s="10">
        <f>(Prob_up*H80+Prob_down*H81)/(1+$I$6)+G40</f>
        <v>3500545.3326439215</v>
      </c>
      <c r="H80" s="10">
        <f t="shared" si="31"/>
        <v>2918246.9764127065</v>
      </c>
      <c r="I80" s="43"/>
      <c r="J80" s="17"/>
      <c r="K80" s="17"/>
      <c r="L80" s="17"/>
    </row>
    <row r="81" spans="1:12" ht="12.75" outlineLevel="1">
      <c r="A81" t="s">
        <v>38</v>
      </c>
      <c r="C81" s="10"/>
      <c r="D81" s="10">
        <f>(Prob_up*E81+Prob_down*E82)/(1+$I$6)+D41</f>
        <v>-11989676.713116813</v>
      </c>
      <c r="E81" s="10">
        <f>(Prob_up*F81+Prob_down*F82)/(1+$I$6)+E41</f>
        <v>-7655192.941617785</v>
      </c>
      <c r="F81" s="10">
        <f>(Prob_up*G81+Prob_down*G82)/(1+$I$6)+F41</f>
        <v>-3985747.9929362065</v>
      </c>
      <c r="G81" s="10">
        <f>(Prob_up*H81+Prob_down*H82)/(1+$I$6)+G41</f>
        <v>-1251397.3494209563</v>
      </c>
      <c r="H81" s="10">
        <f t="shared" si="31"/>
        <v>214027.58160169935</v>
      </c>
      <c r="I81" s="43"/>
      <c r="J81" s="17"/>
      <c r="K81" s="17"/>
      <c r="L81" s="17"/>
    </row>
    <row r="82" spans="1:12" ht="12.75" outlineLevel="1">
      <c r="A82" t="s">
        <v>39</v>
      </c>
      <c r="C82" s="10"/>
      <c r="D82" s="10"/>
      <c r="E82" s="10">
        <f>(Prob_up*F82+Prob_down*F83)/(1+$I$6)+E42</f>
        <v>-13667310.587803565</v>
      </c>
      <c r="F82" s="10">
        <f>(Prob_up*G82+Prob_down*G83)/(1+$I$6)+F42</f>
        <v>-9114736.727650046</v>
      </c>
      <c r="G82" s="10">
        <f>(Prob_up*H82+Prob_down*H83)/(1+$I$6)+G42</f>
        <v>-5141958.960091338</v>
      </c>
      <c r="H82" s="10">
        <f t="shared" si="31"/>
        <v>-2000000</v>
      </c>
      <c r="I82" s="43"/>
      <c r="J82" s="17"/>
      <c r="K82" s="17"/>
      <c r="L82" s="17"/>
    </row>
    <row r="83" spans="1:12" ht="12.75" outlineLevel="1">
      <c r="A83" t="s">
        <v>32</v>
      </c>
      <c r="C83" s="10"/>
      <c r="D83" s="10"/>
      <c r="E83" s="10"/>
      <c r="F83" s="10">
        <f>(Prob_up*G83+Prob_down*G84)/(1+$I$6)+F43</f>
        <v>-13313997.536950797</v>
      </c>
      <c r="G83" s="10">
        <f>(Prob_up*H83+Prob_down*H84)/(1+$I$6)+G43</f>
        <v>-8327281.397491785</v>
      </c>
      <c r="H83" s="10">
        <f t="shared" si="31"/>
        <v>-3812692.4692201815</v>
      </c>
      <c r="I83" s="43"/>
      <c r="J83" s="17"/>
      <c r="K83" s="17"/>
      <c r="L83" s="17"/>
    </row>
    <row r="84" spans="3:12" ht="12.75" outlineLevel="1">
      <c r="C84" s="10"/>
      <c r="D84" s="10"/>
      <c r="E84" s="10"/>
      <c r="F84" s="10"/>
      <c r="G84" s="10">
        <f>(Prob_up*H84+Prob_down*H85)/(1+$I$6)+G44</f>
        <v>-10935202.835460845</v>
      </c>
      <c r="H84" s="10">
        <f t="shared" si="31"/>
        <v>-5296799.539643608</v>
      </c>
      <c r="I84" s="43"/>
      <c r="J84" s="17"/>
      <c r="K84" s="17"/>
      <c r="L84" s="17"/>
    </row>
    <row r="85" spans="3:14" ht="12.75" outlineLevel="1">
      <c r="C85" s="10"/>
      <c r="D85" s="10"/>
      <c r="E85" s="10"/>
      <c r="F85" s="10"/>
      <c r="G85" s="10"/>
      <c r="H85" s="10">
        <f t="shared" si="31"/>
        <v>-6511883.639059738</v>
      </c>
      <c r="I85" s="17"/>
      <c r="J85" s="17"/>
      <c r="K85" s="17"/>
      <c r="L85" s="17"/>
      <c r="M85" s="17"/>
      <c r="N85" s="17"/>
    </row>
    <row r="86" spans="3:14" ht="12.75" outlineLevel="1">
      <c r="C86" s="10"/>
      <c r="D86" s="10"/>
      <c r="E86" s="10"/>
      <c r="F86" s="10"/>
      <c r="G86" s="10"/>
      <c r="H86" s="10"/>
      <c r="I86" s="17"/>
      <c r="J86" s="17"/>
      <c r="K86" s="17"/>
      <c r="L86" s="17"/>
      <c r="M86" s="17"/>
      <c r="N86" s="17"/>
    </row>
    <row r="87" spans="1:14" ht="12.75">
      <c r="A87" s="3" t="s">
        <v>53</v>
      </c>
      <c r="B87" s="20">
        <f aca="true" t="shared" si="32" ref="B87:G87">IF(C87*Prob_up+C88*Prob_down&lt;$M$5,$M$5/(1+$I$6)+B39,(C87*Prob_up+C88*Prob_down)/(1+$I$6)+B39)</f>
        <v>763158.0192371537</v>
      </c>
      <c r="C87" s="17">
        <f t="shared" si="32"/>
        <v>2421143.629559999</v>
      </c>
      <c r="D87" s="17">
        <f t="shared" si="32"/>
        <v>5995974.49116564</v>
      </c>
      <c r="E87" s="17">
        <f t="shared" si="32"/>
        <v>8657049.723521806</v>
      </c>
      <c r="F87" s="17">
        <f t="shared" si="32"/>
        <v>9930365.062585678</v>
      </c>
      <c r="G87" s="17">
        <f t="shared" si="32"/>
        <v>9304581.231136996</v>
      </c>
      <c r="H87" s="10">
        <f aca="true" t="shared" si="33" ref="H87:H93">H39</f>
        <v>6221188.003905095</v>
      </c>
      <c r="I87" s="17"/>
      <c r="J87" s="17"/>
      <c r="K87" s="17"/>
      <c r="L87" s="17"/>
      <c r="M87" s="17"/>
      <c r="N87" s="17"/>
    </row>
    <row r="88" spans="1:14" ht="12.75">
      <c r="A88" s="3" t="s">
        <v>35</v>
      </c>
      <c r="C88" s="17">
        <f>IF(D88*Prob_up+D89*Prob_down&lt;$M$5,$M$5/(1+$I$6)+C40,(D88*Prob_up+D89*Prob_down)/(1+$I$6)+C40)</f>
        <v>-3844482.9624975473</v>
      </c>
      <c r="D88" s="17">
        <f>IF(E88*Prob_up+E89*Prob_down&lt;$M$5,$M$5/(1+$I$6)+D40,(E88*Prob_up+E89*Prob_down)/(1+$I$6)+D40)</f>
        <v>-2892857.1428571427</v>
      </c>
      <c r="E88" s="17">
        <f>IF(F88*Prob_up+F89*Prob_down&lt;$M$5,$M$5/(1+$I$6)+E40,(F88*Prob_up+F89*Prob_down)/(1+$I$6)+E40)</f>
        <v>-68027.0157189666</v>
      </c>
      <c r="F88" s="17">
        <f>IF(G88*Prob_up+G89*Prob_down&lt;$M$5,$M$5/(1+$I$6)+F40,(G88*Prob_up+G89*Prob_down)/(1+$I$6)+F40)</f>
        <v>2278812.9942157185</v>
      </c>
      <c r="G88" s="17">
        <f>IF(H88*Prob_up+H89*Prob_down&lt;$M$5,$M$5/(1+$I$6)+G40,(H88*Prob_up+H89*Prob_down)/(1+$I$6)+G40)</f>
        <v>3500545.3326439215</v>
      </c>
      <c r="H88" s="10">
        <f t="shared" si="33"/>
        <v>2918246.9764127065</v>
      </c>
      <c r="I88" s="17"/>
      <c r="J88" s="17"/>
      <c r="K88" s="17"/>
      <c r="L88" s="17"/>
      <c r="M88" s="17"/>
      <c r="N88" s="17"/>
    </row>
    <row r="89" spans="1:14" ht="12.75">
      <c r="A89" t="s">
        <v>38</v>
      </c>
      <c r="D89" s="17">
        <f>IF(E89*Prob_up+E90*Prob_down&lt;$M$5,$M$5/(1+$I$6)+D41,(E89*Prob_up+E90*Prob_down)/(1+$I$6)+D41)</f>
        <v>-4705549.612077324</v>
      </c>
      <c r="E89" s="17">
        <f>IF(F89*Prob_up+F90*Prob_down&lt;$M$5,$M$5/(1+$I$6)+E41,(F89*Prob_up+F90*Prob_down)/(1+$I$6)+E41)</f>
        <v>-3844482.9624975473</v>
      </c>
      <c r="F89" s="17">
        <f>IF(G89*Prob_up+G90*Prob_down&lt;$M$5,$M$5/(1+$I$6)+F41,(G89*Prob_up+G90*Prob_down)/(1+$I$6)+F41)</f>
        <v>-2892857.1428571427</v>
      </c>
      <c r="G89" s="17">
        <f>IF(H89*Prob_up+H90*Prob_down&lt;$M$5,$M$5/(1+$I$6)+G41,(H89*Prob_up+H90*Prob_down)/(1+$I$6)+G41)</f>
        <v>-1251397.3494209563</v>
      </c>
      <c r="H89" s="10">
        <f t="shared" si="33"/>
        <v>214027.58160169935</v>
      </c>
      <c r="I89" s="17"/>
      <c r="J89" s="17"/>
      <c r="K89" s="17"/>
      <c r="L89" s="17"/>
      <c r="M89" s="17"/>
      <c r="N89" s="17"/>
    </row>
    <row r="90" spans="1:14" ht="12.75">
      <c r="A90" t="s">
        <v>39</v>
      </c>
      <c r="E90" s="17">
        <f>IF(F90*Prob_up+F91*Prob_down&lt;$M$5,$M$5/(1+$I$6)+E42,(F90*Prob_up+F91*Prob_down)/(1+$I$6)+E42)</f>
        <v>-5484674.936039965</v>
      </c>
      <c r="F90" s="17">
        <f>IF(G90*Prob_up+G91*Prob_down&lt;$M$5,$M$5/(1+$I$6)+F42,(G90*Prob_up+G91*Prob_down)/(1+$I$6)+F42)</f>
        <v>-4705549.612077324</v>
      </c>
      <c r="G90" s="17">
        <f>IF(H90*Prob_up+H91*Prob_down&lt;$M$5,$M$5/(1+$I$6)+G42,(H90*Prob_up+H91*Prob_down)/(1+$I$6)+G42)</f>
        <v>-3844482.9624975473</v>
      </c>
      <c r="H90" s="10">
        <f t="shared" si="33"/>
        <v>-2000000</v>
      </c>
      <c r="I90" s="17"/>
      <c r="J90" s="17"/>
      <c r="K90" s="17"/>
      <c r="L90" s="17"/>
      <c r="M90" s="17"/>
      <c r="N90" s="17"/>
    </row>
    <row r="91" spans="1:14" ht="12.75">
      <c r="A91" t="s">
        <v>32</v>
      </c>
      <c r="F91" s="17">
        <f>IF(G91*Prob_up+G92*Prob_down&lt;$M$5,$M$5/(1+$I$6)+F43,(G91*Prob_up+G92*Prob_down)/(1+$I$6)+F43)</f>
        <v>-6189656.682500751</v>
      </c>
      <c r="G91" s="17">
        <f>IF(H91*Prob_up+H92*Prob_down&lt;$M$5,$M$5/(1+$I$6)+G43,(H91*Prob_up+H92*Prob_down)/(1+$I$6)+G43)</f>
        <v>-5484674.936039965</v>
      </c>
      <c r="H91" s="10">
        <f t="shared" si="33"/>
        <v>-3812692.4692201815</v>
      </c>
      <c r="I91" s="17"/>
      <c r="J91" s="17"/>
      <c r="K91" s="17"/>
      <c r="L91" s="17"/>
      <c r="M91" s="17"/>
      <c r="N91" s="17"/>
    </row>
    <row r="92" spans="2:14" ht="12.75">
      <c r="B92" s="10"/>
      <c r="G92" s="17">
        <f>IF(H92*Prob_up+H93*Prob_down&lt;$M$5,$M$5/(1+$I$6)+G44,(H92*Prob_up+H93*Prob_down)/(1+$I$6)+G44)</f>
        <v>-6827550.545730811</v>
      </c>
      <c r="H92" s="10">
        <f t="shared" si="33"/>
        <v>-5296799.539643608</v>
      </c>
      <c r="I92" s="17"/>
      <c r="J92" s="17"/>
      <c r="K92" s="17"/>
      <c r="L92" s="17"/>
      <c r="M92" s="17"/>
      <c r="N92" s="17"/>
    </row>
    <row r="93" spans="7:14" ht="12.75">
      <c r="G93" s="26"/>
      <c r="H93" s="10">
        <f t="shared" si="33"/>
        <v>-6511883.639059738</v>
      </c>
      <c r="I93" s="17"/>
      <c r="J93" s="17"/>
      <c r="K93" s="17"/>
      <c r="L93" s="17"/>
      <c r="M93" s="17"/>
      <c r="N93" s="17"/>
    </row>
    <row r="94" spans="9:14" ht="12.75">
      <c r="I94" s="17"/>
      <c r="J94" s="17"/>
      <c r="K94" s="17"/>
      <c r="L94" s="17"/>
      <c r="M94" s="17"/>
      <c r="N94" s="17"/>
    </row>
    <row r="95" spans="7:14" ht="12.75">
      <c r="G95" s="10"/>
      <c r="H95" s="10"/>
      <c r="I95" s="17"/>
      <c r="J95" s="17"/>
      <c r="K95" s="17"/>
      <c r="L95" s="17"/>
      <c r="M95" s="17"/>
      <c r="N95" s="17"/>
    </row>
    <row r="96" spans="8:14" ht="12.75">
      <c r="H96" s="9"/>
      <c r="I96" s="17"/>
      <c r="J96" s="17"/>
      <c r="K96" s="17"/>
      <c r="L96" s="17"/>
      <c r="M96" s="17"/>
      <c r="N96" s="17"/>
    </row>
    <row r="97" spans="9:14" ht="12.75">
      <c r="I97" s="17"/>
      <c r="J97" s="17"/>
      <c r="K97" s="17"/>
      <c r="L97" s="17"/>
      <c r="M97" s="17"/>
      <c r="N97" s="17"/>
    </row>
    <row r="98" spans="9:14" ht="12.75">
      <c r="I98" s="17"/>
      <c r="J98" s="17"/>
      <c r="K98" s="17"/>
      <c r="L98" s="17"/>
      <c r="M98" s="17"/>
      <c r="N98" s="17"/>
    </row>
    <row r="99" spans="1:15" ht="12.75">
      <c r="A99" s="3" t="s">
        <v>33</v>
      </c>
      <c r="B99" s="32" t="str">
        <f>IF(C87*Prob_up+C88*Prob_down&lt;$M$5,"YES","NO")</f>
        <v>NO</v>
      </c>
      <c r="C99" s="32" t="str">
        <f>IF(D87*Prob_up+D88*Prob_down&lt;$M$5,"YES","NO")</f>
        <v>NO</v>
      </c>
      <c r="D99" s="32" t="str">
        <f>IF(E87*Prob_up+E88*Prob_down&lt;$M$5,"YES","NO")</f>
        <v>NO</v>
      </c>
      <c r="E99" s="32" t="str">
        <f>IF(F87*Prob_up+F88*Prob_down&lt;$M$5,"YES","NO")</f>
        <v>NO</v>
      </c>
      <c r="F99" s="32" t="str">
        <f>IF(G87*Prob_up+G88*Prob_down&lt;$M$5,"YES","NO")</f>
        <v>NO</v>
      </c>
      <c r="G99" s="32" t="str">
        <f aca="true" t="shared" si="34" ref="G99:G104">IF(H87*Prob_up+H88*Prob_down&lt;$M$5,"YES","NO")</f>
        <v>NO</v>
      </c>
      <c r="H99" s="49" t="s">
        <v>61</v>
      </c>
      <c r="I99" s="26"/>
      <c r="J99" s="17"/>
      <c r="K99" s="17"/>
      <c r="L99" s="17"/>
      <c r="M99" s="17"/>
      <c r="N99" s="17"/>
      <c r="O99" s="10"/>
    </row>
    <row r="100" spans="1:14" ht="12.75">
      <c r="A100" s="3" t="s">
        <v>35</v>
      </c>
      <c r="B100" s="32"/>
      <c r="C100" s="32" t="str">
        <f>IF(D88*Prob_up+D89*Prob_down&lt;$M$5,"YES","NO")</f>
        <v>YES</v>
      </c>
      <c r="D100" s="32" t="str">
        <f>IF(E88*Prob_up+E89*Prob_down&lt;$M$5,"YES","NO")</f>
        <v>YES</v>
      </c>
      <c r="E100" s="32" t="str">
        <f>IF(F88*Prob_up+F89*Prob_down&lt;$M$5,"YES","NO")</f>
        <v>NO</v>
      </c>
      <c r="F100" s="32" t="str">
        <f>IF(G88*Prob_up+G89*Prob_down&lt;$M$5,"YES","NO")</f>
        <v>NO</v>
      </c>
      <c r="G100" s="32" t="str">
        <f t="shared" si="34"/>
        <v>NO</v>
      </c>
      <c r="I100" s="17"/>
      <c r="J100" s="17"/>
      <c r="K100" s="17"/>
      <c r="L100" s="17"/>
      <c r="M100" s="17"/>
      <c r="N100" s="17"/>
    </row>
    <row r="101" spans="1:7" ht="12.75">
      <c r="A101" t="s">
        <v>38</v>
      </c>
      <c r="B101" s="32"/>
      <c r="C101" s="32"/>
      <c r="D101" s="32" t="str">
        <f>IF(E89*Prob_up+E90*Prob_down&lt;$M$5,"YES","NO")</f>
        <v>YES</v>
      </c>
      <c r="E101" s="32" t="str">
        <f>IF(F89*Prob_up+F90*Prob_down&lt;$M$5,"YES","NO")</f>
        <v>YES</v>
      </c>
      <c r="F101" s="32" t="str">
        <f>IF(G89*Prob_up+G90*Prob_down&lt;$M$5,"YES","NO")</f>
        <v>YES</v>
      </c>
      <c r="G101" s="32" t="str">
        <f t="shared" si="34"/>
        <v>NO</v>
      </c>
    </row>
    <row r="102" spans="1:7" ht="12.75">
      <c r="A102" t="s">
        <v>39</v>
      </c>
      <c r="B102" s="32"/>
      <c r="C102" s="32"/>
      <c r="D102" s="32"/>
      <c r="E102" s="32" t="str">
        <f>IF(F90*Prob_up+F91*Prob_down&lt;$M$5,"YES","NO")</f>
        <v>YES</v>
      </c>
      <c r="F102" s="32" t="str">
        <f>IF(G90*Prob_up+G91*Prob_down&lt;$M$5,"YES","NO")</f>
        <v>YES</v>
      </c>
      <c r="G102" s="32" t="str">
        <f t="shared" si="34"/>
        <v>YES</v>
      </c>
    </row>
    <row r="103" spans="1:7" ht="12.75">
      <c r="A103" t="s">
        <v>32</v>
      </c>
      <c r="B103" s="32"/>
      <c r="C103" s="32"/>
      <c r="D103" s="32"/>
      <c r="E103" s="32"/>
      <c r="F103" s="32" t="str">
        <f>IF(G91*Prob_up+G92*Prob_down&lt;$M$5,"YES","NO")</f>
        <v>YES</v>
      </c>
      <c r="G103" s="32" t="str">
        <f t="shared" si="34"/>
        <v>YES</v>
      </c>
    </row>
    <row r="104" spans="2:7" ht="12.75">
      <c r="B104" s="32"/>
      <c r="C104" s="32"/>
      <c r="D104" s="32"/>
      <c r="E104" s="32"/>
      <c r="F104" s="32"/>
      <c r="G104" s="32" t="str">
        <f t="shared" si="34"/>
        <v>YES</v>
      </c>
    </row>
    <row r="106" spans="10:32" ht="12.75">
      <c r="J106" s="58" t="s">
        <v>15</v>
      </c>
      <c r="K106" s="58" t="s">
        <v>16</v>
      </c>
      <c r="L106" s="58" t="s">
        <v>17</v>
      </c>
      <c r="M106" s="71" t="s">
        <v>19</v>
      </c>
      <c r="N106" s="71"/>
      <c r="O106" s="71"/>
      <c r="P106" s="71"/>
      <c r="Q106" s="71"/>
      <c r="R106" s="71"/>
      <c r="S106" s="71"/>
      <c r="T106" s="71"/>
      <c r="U106" s="71"/>
      <c r="V106" s="71"/>
      <c r="W106" s="71"/>
      <c r="X106" s="71"/>
      <c r="Y106" s="71"/>
      <c r="Z106" s="71"/>
      <c r="AA106" s="71"/>
      <c r="AB106" s="71"/>
      <c r="AC106" s="71"/>
      <c r="AD106" s="71"/>
      <c r="AE106" s="71"/>
      <c r="AF106" s="71"/>
    </row>
    <row r="107" spans="1:32" ht="12.75">
      <c r="A107" s="3" t="s">
        <v>14</v>
      </c>
      <c r="B107" s="10">
        <f aca="true" t="shared" si="35" ref="B107:H107">B52</f>
        <v>0</v>
      </c>
      <c r="C107" s="10">
        <f>C52</f>
        <v>-846688.2314674311</v>
      </c>
      <c r="D107" s="10">
        <f t="shared" si="35"/>
        <v>170621.47767992612</v>
      </c>
      <c r="E107" s="10">
        <f t="shared" si="35"/>
        <v>1066665.391934699</v>
      </c>
      <c r="F107" s="10">
        <f t="shared" si="35"/>
        <v>1854598.710760512</v>
      </c>
      <c r="G107" s="10">
        <f t="shared" si="35"/>
        <v>2546164.997274284</v>
      </c>
      <c r="H107" s="10">
        <f t="shared" si="35"/>
        <v>3151847.453473336</v>
      </c>
      <c r="J107" s="56">
        <f aca="true" t="shared" si="36" ref="J107:J113">L107*SUM(M107:AF107)</f>
        <v>1413720.6894406085</v>
      </c>
      <c r="K107" s="57">
        <f>L107*COUNT(M107:AF107)</f>
        <v>0.177978515625</v>
      </c>
      <c r="L107" s="53">
        <f>Prob_up^6*Prob_down^0</f>
        <v>0.177978515625</v>
      </c>
      <c r="M107" s="63">
        <f>B107+IF(B99="YES",C117,C107+IF(C99="YES",D117,D107+IF(D99="YES",E117,E107+IF(E99="YES",F117,F107+IF(F99="YES",G117,G107+IF(G99="YES",H117,H107))))))</f>
        <v>7943209.799655326</v>
      </c>
      <c r="N107" s="63"/>
      <c r="O107" s="63"/>
      <c r="P107" s="63"/>
      <c r="Q107" s="63"/>
      <c r="R107" s="63"/>
      <c r="S107" s="63"/>
      <c r="T107" s="63"/>
      <c r="U107" s="63"/>
      <c r="V107" s="63"/>
      <c r="W107" s="63"/>
      <c r="X107" s="63"/>
      <c r="Y107" s="63"/>
      <c r="Z107" s="63"/>
      <c r="AA107" s="63"/>
      <c r="AB107" s="63"/>
      <c r="AC107" s="63"/>
      <c r="AD107" s="63"/>
      <c r="AE107" s="63"/>
      <c r="AF107" s="63"/>
    </row>
    <row r="108" spans="3:32" ht="12.75">
      <c r="C108" s="10">
        <f aca="true" t="shared" si="37" ref="C108:H108">C53</f>
        <v>-2635380.196107504</v>
      </c>
      <c r="D108" s="10">
        <f t="shared" si="37"/>
        <v>-1594387.7551020405</v>
      </c>
      <c r="E108" s="10">
        <f t="shared" si="37"/>
        <v>-674974.6743203371</v>
      </c>
      <c r="F108" s="10">
        <f t="shared" si="37"/>
        <v>136018.39738514516</v>
      </c>
      <c r="G108" s="10">
        <f t="shared" si="37"/>
        <v>850339.1198459015</v>
      </c>
      <c r="H108" s="10">
        <f t="shared" si="37"/>
        <v>1478474.7375322955</v>
      </c>
      <c r="J108" s="56">
        <f t="shared" si="36"/>
        <v>488114.367058235</v>
      </c>
      <c r="K108" s="57">
        <f aca="true" t="shared" si="38" ref="K108:K113">L108*COUNT(M108:AF108)</f>
        <v>0.35595703125</v>
      </c>
      <c r="L108" s="53">
        <f>Prob_up^5*Prob_down^1</f>
        <v>0.059326171875</v>
      </c>
      <c r="M108" s="63">
        <f>B107+IF(B99="YES",C117,C107+IF(C99="YES",D117,D107+IF(D99="YES",E117,E107+IF(E99="YES",F117,F107+IF(F99="YES",G117,G107+IF(G99="YES",H118,H108))))))</f>
        <v>6269837.083714285</v>
      </c>
      <c r="N108" s="63">
        <f>B107+IF(B99="YES",C117,C107+IF(C99="YES",D117,D107+IF(D99="YES",E117,E107+IF(E99="YES",F117,F107+IF(F99="YES",G118,G108+IF(G100="YES",H118,H108))))))</f>
        <v>4574011.206285902</v>
      </c>
      <c r="O108" s="63">
        <f>B107+IF(B99="YES",C117,C107+IF(C99="YES",D117,D107+IF(D99="YES",E117,E107+IF(E99="YES",F118,F108+IF(F100="YES",G118,G108+IF(G100="YES",H118,H108))))))</f>
        <v>2855430.892910536</v>
      </c>
      <c r="P108" s="63">
        <f>B107+IF(B99="YES",C117,C107+IF(C99="YES",D117,D107+IF(D99="YES",E118,E108+IF(E100="YES",F118,F108+IF(F100="YES",G118,G108+IF(G100="YES",H118,H108))))))</f>
        <v>1113790.8266555</v>
      </c>
      <c r="Q108" s="63">
        <f>B107+IF(B99="YES",C117,C107+IF(C99="YES",D118,D108+IF(D100="YES",E118,E108+IF(E100="YES",F118,F108+IF(F100="YES",G118,G108+IF(G100="YES",H118,H108))))))</f>
        <v>-3152856.2343828822</v>
      </c>
      <c r="R108" s="63">
        <f>B107+IF(B99="YES",C118,C108+IF(C100="YES",D118,D108+IF(D100="YES",E118,E108+IF(E100="YES",F118,F108+IF(F100="YES",G118,G108+IF(G100="YES",H118,H108))))))</f>
        <v>-3432574.073658524</v>
      </c>
      <c r="S108" s="63"/>
      <c r="T108" s="63"/>
      <c r="U108" s="63"/>
      <c r="V108" s="63"/>
      <c r="W108" s="63"/>
      <c r="X108" s="63"/>
      <c r="Y108" s="63"/>
      <c r="Z108" s="63"/>
      <c r="AA108" s="63"/>
      <c r="AB108" s="63"/>
      <c r="AC108" s="63"/>
      <c r="AD108" s="63"/>
      <c r="AE108" s="63"/>
      <c r="AF108" s="63"/>
    </row>
    <row r="109" spans="4:32" ht="12.75">
      <c r="D109" s="10">
        <f>D54</f>
        <v>-3039455.0934472107</v>
      </c>
      <c r="E109" s="10">
        <f>E54</f>
        <v>-2100908.9573561093</v>
      </c>
      <c r="F109" s="10">
        <f>F54</f>
        <v>-1271036.1568096622</v>
      </c>
      <c r="G109" s="10">
        <f>G54</f>
        <v>-538085.6778701667</v>
      </c>
      <c r="H109" s="10">
        <f>H54</f>
        <v>108433.03362973942</v>
      </c>
      <c r="J109" s="56">
        <f t="shared" si="36"/>
        <v>-594812.1729724031</v>
      </c>
      <c r="K109" s="57">
        <f t="shared" si="38"/>
        <v>0.296630859375</v>
      </c>
      <c r="L109" s="53">
        <f>Prob_up^4*Prob_down^2</f>
        <v>0.019775390625</v>
      </c>
      <c r="M109" s="63">
        <f>B107+IF(B99="YES",C117,C107+IF(C99="YES",D117,D107+IF(D99="YES",E117,E107+IF(E99="YES",F117,F107+IF(F99="YES",G118,G108+IF(G100="YES",H119,H109))))))</f>
        <v>3203969.5023833467</v>
      </c>
      <c r="N109" s="63">
        <f>B107+IF(B99="YES",C117,C107+IF(C99="YES",D117,D107+IF(D99="YES",E117,E107+IF(E99="YES",F118,F108+IF(F100="YES",G118,G108+IF(G100="YES",H119,H109))))))</f>
        <v>1485389.1890079803</v>
      </c>
      <c r="O109" s="63">
        <f>B107+IF(B99="YES",C117,C107+IF(C99="YES",D117,D107+IF(D99="YES",E117,E107+IF(E99="YES",F118,F108+IF(F100="YES",G119,G109+IF(G101="YES",H119,H109))))))</f>
        <v>96964.39129191183</v>
      </c>
      <c r="P109" s="63">
        <f>B107+IF(B99="YES",C117,C107+IF(C99="YES",D117,D107+IF(D99="YES",E118,E108+IF(E100="YES",F118,F108+IF(F100="YES",G118,G108+IF(G100="YES",H119,H109))))))</f>
        <v>-256250.877247056</v>
      </c>
      <c r="Q109" s="63">
        <f>B107+IF(B99="YES",C117,C107+IF(C99="YES",D117,D107+IF(D99="YES",E118,E108+IF(E100="YES",F118,F108+IF(F100="YES",G119,G109+IF(G101="YES",H119,H109))))))</f>
        <v>-1644675.674963124</v>
      </c>
      <c r="R109" s="63">
        <f>B107+IF(B99="YES",C117,C107+IF(C99="YES",D117,D107+IF(D99="YES",E118,E108+IF(E100="YES",F119,F109+IF(F101="YES",G119,G109+IF(G101="YES",H119,H109))))))</f>
        <v>-3189504.4406361035</v>
      </c>
      <c r="S109" s="63">
        <f>B107+IF(B99="YES",C117,C107+IF(C99="YES",D118,D108+IF(D100="YES",E118,E108+IF(E100="YES",F118,F108+IF(F100="YES",G118,G108+IF(G100="YES",H119,H109))))))</f>
        <v>-3152856.2343828822</v>
      </c>
      <c r="T109" s="63">
        <f>B107+IF(B99="YES",C117,C107+IF(C99="YES",D118,D108+IF(D100="YES",E118,E108+IF(E100="YES",F118,F108+IF(F100="YES",G119,G109+IF(G101="YES",H119,H109))))))</f>
        <v>-3152856.2343828822</v>
      </c>
      <c r="U109" s="63">
        <f>B107+IF(B99="YES",C117,C107+IF(C99="YES",D118,D108+IF(D100="YES",E118,E108+IF(E100="YES",F119,F109+IF(F101="YES",G119,G109+IF(G101="YES",H119,H109))))))</f>
        <v>-3152856.2343828822</v>
      </c>
      <c r="V109" s="63">
        <f>B107+IF(B99="YES",C117,C107+IF(C99="YES",D118,D108+IF(D100="YES",E119,E109+IF(E101="YES",F119,F109+IF(F101="YES",G119,G109+IF(G101="YES",H119,H109))))))</f>
        <v>-3152856.2343828822</v>
      </c>
      <c r="W109" s="63">
        <f>B107+IF(B99="YES",C118,C108+IF(C100="YES",D118,D108+IF(D100="YES",E118,E108+IF(E100="YES",F118,F108+IF(F100="YES",G118,G108+IF(G100="YES",H119,H109))))))</f>
        <v>-3432574.073658524</v>
      </c>
      <c r="X109" s="63">
        <f>B107+IF(B99="YES",C118,C108+IF(C100="YES",D118,D108+IF(D100="YES",E118,E108+IF(E100="YES",F118,F108+IF(F100="YES",G119,G109+IF(G101="YES",H119,H109))))))</f>
        <v>-3432574.073658524</v>
      </c>
      <c r="Y109" s="63">
        <f>B107+IF(B99="YES",C118,C108+IF(C100="YES",D118,D108+IF(D100="YES",E118,E108+IF(E100="YES",F119,F109+IF(F101="YES",G119,G109+IF(G101="YES",H119,H109))))))</f>
        <v>-3432574.073658524</v>
      </c>
      <c r="Z109" s="63">
        <f>B107+IF(B99="YES",C118,C108+IF(C100="YES",D118,D108+IF(D100="YES",E119,E109+IF(E101="YES",F119,F109+IF(F101="YES",G119,G109+IF(G101="YES",H119,H109))))))</f>
        <v>-3432574.073658524</v>
      </c>
      <c r="AA109" s="63">
        <f>B107+IF(B99="YES",C118,C108+IF(C100="YES",D119,D109+IF(D101="YES",E119,E109+IF(E101="YES",F119,F109+IF(F101="YES",G119,G109+IF(G101="YES",H119,H109))))))</f>
        <v>-3432574.073658524</v>
      </c>
      <c r="AB109" s="63"/>
      <c r="AC109" s="63"/>
      <c r="AD109" s="63"/>
      <c r="AE109" s="63"/>
      <c r="AF109" s="63"/>
    </row>
    <row r="110" spans="5:32" ht="12.75">
      <c r="E110" s="10">
        <f>E55</f>
        <v>-3268365.2067456986</v>
      </c>
      <c r="F110" s="10">
        <f>F55</f>
        <v>-2423034.9915873804</v>
      </c>
      <c r="G110" s="10">
        <f>G55</f>
        <v>-1674831.758096388</v>
      </c>
      <c r="H110" s="10">
        <f>H55</f>
        <v>-1013262.2423546413</v>
      </c>
      <c r="J110" s="56">
        <f t="shared" si="36"/>
        <v>-418005.5418004048</v>
      </c>
      <c r="K110" s="57">
        <f t="shared" si="38"/>
        <v>0.1318359375</v>
      </c>
      <c r="L110" s="53">
        <f>Prob_up^3*Prob_down^3</f>
        <v>0.006591796875</v>
      </c>
      <c r="M110" s="63">
        <f>B107+IF(B99="YES",C117,C107+IF(C99="YES",D117,D107+IF(D99="YES",E117,E107+IF(E99="YES",F118,F108+IF(F100="YES",G119,G109+IF(G101="YES",H120,H110))))))</f>
        <v>-1024730.8846924691</v>
      </c>
      <c r="N110" s="63">
        <f>B107+IF(B99="YES",C117,C107+IF(C99="YES",D117,D107+IF(D99="YES",E118,E108+IF(E100="YES",F118,F108+IF(F100="YES",G119,G109+IF(G101="YES",H120,H110))))))</f>
        <v>-2766370.950947505</v>
      </c>
      <c r="O110" s="63">
        <f>B107+IF(B99="YES",C117,C107+IF(C99="YES",D117,D107+IF(D99="YES",E118,E108+IF(E100="YES",F119,F109+IF(F101="YES",G119,G109+IF(G101="YES",H120,H110))))))</f>
        <v>-3189504.4406361035</v>
      </c>
      <c r="P110" s="63">
        <f>B107+IF(B99="YES",C117,C107+IF(C99="YES",D117,D107+IF(D99="YES",E118,E108+IF(E100="YES",F119,F109+IF(F101="YES",G120,G110+IF(G102="YES",H120,H110))))))</f>
        <v>-3189504.4406361035</v>
      </c>
      <c r="Q110" s="63">
        <f>B107+IF(B99="YES",C117,C107+IF(C99="YES",D118,D108+IF(D100="YES",E118,E108+IF(E100="YES",F118,F108+IF(F100="YES",G119,G109+IF(G101="YES",H120,H110))))))</f>
        <v>-3152856.2343828822</v>
      </c>
      <c r="R110" s="63">
        <f>B107+IF(B99="YES",C117,C107+IF(C99="YES",D118,D108+IF(D100="YES",E118,E108+IF(E100="YES",F119,F109+IF(F101="YES",G119,G109+IF(G101="YES",H120,H110))))))</f>
        <v>-3152856.2343828822</v>
      </c>
      <c r="S110" s="63">
        <f>B107+IF(B99="YES",C117,C107+IF(C99="YES",D118,D108+IF(D100="YES",E118,E108+IF(E100="YES",F119,F109+IF(F101="YES",G120,G110+IF(G102="YES",H120,H110))))))</f>
        <v>-3152856.2343828822</v>
      </c>
      <c r="T110" s="63">
        <f>B107+IF(B99="YES",C117,C107+IF(C99="YES",D118,D108+IF(D100="YES",E119,E109+IF(E101="YES",F119,F109+IF(F101="YES",G119,G109+IF(G101="YES",H120,H110))))))</f>
        <v>-3152856.2343828822</v>
      </c>
      <c r="U110" s="63">
        <f>B107+IF(B99="YES",C117,C107+IF(C99="YES",D118,D108+IF(D100="YES",E119,E109+IF(E101="YES",F119,F109+IF(F101="YES",G120,G110+IF(G102="YES",H120,H110))))))</f>
        <v>-3152856.2343828822</v>
      </c>
      <c r="V110" s="63">
        <f>B107+IF(B99="YES",C117,C107+IF(C99="YES",D118,D108+IF(D100="YES",E119,E109+IF(E101="YES",F120,F110+IF(F102="YES",G120,G110+IF(G102="YES",H120,H110))))))</f>
        <v>-3152856.2343828822</v>
      </c>
      <c r="W110" s="63">
        <f>B107+IF(B99="YES",C118,C108+IF(C100="YES",D118,D108+IF(D100="YES",E118,E108+IF(E100="YES",F118,F108+IF(F100="YES",G119,G109+IF(G101="YES",H120,H110))))))</f>
        <v>-3432574.073658524</v>
      </c>
      <c r="X110" s="63">
        <f>B107+IF(B99="YES",C118,C108+IF(C100="YES",D118,D108+IF(D100="YES",E118,E108+IF(E100="YES",F119,F109+IF(F101="YES",G119,G109+IF(G101="YES",H120,H110))))))</f>
        <v>-3432574.073658524</v>
      </c>
      <c r="Y110" s="63">
        <f>B107+IF(B99="YES",C118,C108+IF(C100="YES",D118,D108+IF(D100="YES",E118,E108+IF(E100="YES",F119,F109+IF(F101="YES",G120,G110+IF(G102="YES",H120,H110))))))</f>
        <v>-3432574.073658524</v>
      </c>
      <c r="Z110" s="63">
        <f>B107+IF(B99="YES",C118,C108+IF(C100="YES",D118,D108+IF(D100="YES",E119,E109+IF(E101="YES",F119,F109+IF(F101="YES",G119,G109+IF(G101="YES",H120,H110))))))</f>
        <v>-3432574.073658524</v>
      </c>
      <c r="AA110" s="63">
        <f>B107+IF(B99="YES",C118,C108+IF(C100="YES",D118,D108+IF(D100="YES",E119,E109+IF(E101="YES",F119,F109+IF(F101="YES",G120,G110+IF(G102="YES",H120,H110))))))</f>
        <v>-3432574.073658524</v>
      </c>
      <c r="AB110" s="63">
        <f>B107+IF(B99="YES",C118,C108+IF(C100="YES",D118,D108+IF(D100="YES",E119,E109+IF(E101="YES",F120,F110+IF(F102="YES",G120,G110+IF(G102="YES",H120,H110))))))</f>
        <v>-3432574.073658524</v>
      </c>
      <c r="AC110" s="63">
        <f>B107+IF(B99="YES",C118,C108+IF(C100="YES",D119,D109+IF(D101="YES",E119,E109+IF(E101="YES",F119,F109+IF(F101="YES",G119,G109+IF(G101="YES",H120,H110))))))</f>
        <v>-3432574.073658524</v>
      </c>
      <c r="AD110" s="63">
        <f>B107+IF(B99="YES",C118,C108+IF(C100="YES",D119,D109+IF(D101="YES",E119,E109+IF(E101="YES",F119,F109+IF(F101="YES",G120,G110+IF(G102="YES",H120,H110))))))</f>
        <v>-3432574.073658524</v>
      </c>
      <c r="AE110" s="63">
        <f>B107+IF(B99="YES",C118,C108+IF(C100="YES",D119,D109+IF(D101="YES",E119,E109+IF(E101="YES",F120,F110+IF(F102="YES",G120,G110+IF(G102="YES",H120,H110))))))</f>
        <v>-3432574.073658524</v>
      </c>
      <c r="AF110" s="63">
        <f>B107+IF(B99="YES",C118,C108+IF(C100="YES",D119,D109+IF(D101="YES",E120,E110+IF(E102="YES",F120,F110+IF(F102="YES",G120,G110+IF(G102="YES",H120,H110))))))</f>
        <v>-3432574.073658524</v>
      </c>
    </row>
    <row r="111" spans="6:32" ht="12.75">
      <c r="F111" s="10">
        <f>F56</f>
        <v>-3366211.8651299</v>
      </c>
      <c r="G111" s="10">
        <f>G56</f>
        <v>-2605520.732418446</v>
      </c>
      <c r="H111" s="10">
        <f>H56</f>
        <v>-1931628.6603853477</v>
      </c>
      <c r="J111" s="56">
        <f t="shared" si="36"/>
        <v>-110141.60913886133</v>
      </c>
      <c r="K111" s="57">
        <f t="shared" si="38"/>
        <v>0.032958984375</v>
      </c>
      <c r="L111" s="53">
        <f>Prob_up^2*Prob_down^4</f>
        <v>0.002197265625</v>
      </c>
      <c r="M111" s="63">
        <f>B107+IF(B99="YES",C117,C107+IF(C99="YES",D117,D107+IF(D99="YES",E118,E108+IF(E100="YES",F119,F109+IF(F101="YES",G120,G110+IF(G102="YES",H121,H111))))))</f>
        <v>-3189504.4406361035</v>
      </c>
      <c r="N111" s="63">
        <f>B107+IF(B99="YES",C117,C107+IF(C99="YES",D118,D108+IF(D100="YES",E118,E108+IF(E100="YES",F119,F109+IF(F101="YES",G120,G110+IF(G102="YES",H121,H111))))))</f>
        <v>-3152856.2343828822</v>
      </c>
      <c r="O111" s="63">
        <f>B107+IF(B99="YES",C117,C107+IF(C99="YES",D118,D108+IF(D100="YES",E119,E109+IF(E101="YES",F119,F109+IF(F101="YES",G120,G110+IF(G102="YES",H121,H111))))))</f>
        <v>-3152856.2343828822</v>
      </c>
      <c r="P111" s="63">
        <f>B107+IF(B99="YES",C117,C107+IF(C99="YES",D118,D108+IF(D100="YES",E119,E109+IF(E101="YES",F120,F110+IF(F102="YES",G120,G110+IF(G102="YES",H121,H111))))))</f>
        <v>-3152856.2343828822</v>
      </c>
      <c r="Q111" s="63">
        <f>B107+IF(B99="YES",C117,C107+IF(C99="YES",D118,D108+IF(D100="YES",E119,E109+IF(E101="YES",F120,F110+IF(F102="YES",G121,G111+IF(G103="YES",H121,H111))))))</f>
        <v>-3152856.2343828822</v>
      </c>
      <c r="R111" s="63">
        <f>B107+IF(B99="YES",C118,C108+IF(C100="YES",D118,D108+IF(D100="YES",E118,E108+IF(E100="YES",F119,F109+IF(F101="YES",G120,G110+IF(G102="YES",H121,H111))))))</f>
        <v>-3432574.073658524</v>
      </c>
      <c r="S111" s="63">
        <f>B107+IF(B99="YES",C118,C108+IF(C100="YES",D118,D108+IF(D100="YES",E119,E109+IF(E101="YES",F119,F109+IF(F101="YES",G120,G110+IF(G102="YES",H121,H111))))))</f>
        <v>-3432574.073658524</v>
      </c>
      <c r="T111" s="63">
        <f>B107+IF(B99="YES",C118,C108+IF(C100="YES",D118,D108+IF(D100="YES",E119,E109+IF(E101="YES",F120,F110+IF(F102="YES",G120,G110+IF(G102="YES",H121,H111))))))</f>
        <v>-3432574.073658524</v>
      </c>
      <c r="U111" s="63">
        <f>B107+IF(B99="YES",C118,C108+IF(C100="YES",D118,D108+IF(D100="YES",E119,E109+IF(E101="YES",F120,F110+IF(F102="YES",G121,G111+IF(G103="YES",H121,H111))))))</f>
        <v>-3432574.073658524</v>
      </c>
      <c r="V111" s="63">
        <f>B107+IF(B99="YES",C118,C108+IF(C100="YES",D119,D109+IF(D101="YES",E119,E109+IF(E101="YES",F119,F109+IF(F101="YES",G120,G110+IF(G102="YES",H121,H111))))))</f>
        <v>-3432574.073658524</v>
      </c>
      <c r="W111" s="63">
        <f>B107+IF(B99="YES",C118,C108+IF(C100="YES",D119,D109+IF(D101="YES",E119,E109+IF(E101="YES",F120,F110+IF(F102="YES",G120,G110+IF(G102="YES",H121,H111))))))</f>
        <v>-3432574.073658524</v>
      </c>
      <c r="X111" s="63">
        <f>B107+IF(B99="YES",C118,C108+IF(C100="YES",D119,D109+IF(D101="YES",E119,E109+IF(E101="YES",F120,F110+IF(F102="YES",G121,G111+IF(G103="YES",H121,H111))))))</f>
        <v>-3432574.073658524</v>
      </c>
      <c r="Y111" s="63">
        <f>B107+IF(B99="YES",C118,C108+IF(C100="YES",D119,D109+IF(D101="YES",E120,E110+IF(E102="YES",F120,F110+IF(F102="YES",G120,G110+IF(G102="YES",H121,H111))))))</f>
        <v>-3432574.073658524</v>
      </c>
      <c r="Z111" s="63">
        <f>B107+IF(B99="YES",C118,C108+IF(C100="YES",D119,D109+IF(D101="YES",E120,E110+IF(E102="YES",F120,F110+IF(F102="YES",G121,G111+IF(G103="YES",H121,H111))))))</f>
        <v>-3432574.073658524</v>
      </c>
      <c r="AA111" s="63">
        <f>B107+IF(B99="YES",C118,C108+IF(C100="YES",D119,D109+IF(D101="YES",E120,E110+IF(E102="YES",F121,F111+IF(F103="YES",G121,G111+IF(G103="YES",H121,H111))))))</f>
        <v>-3432574.073658524</v>
      </c>
      <c r="AB111" s="63"/>
      <c r="AC111" s="63"/>
      <c r="AD111" s="63"/>
      <c r="AE111" s="63"/>
      <c r="AF111" s="63"/>
    </row>
    <row r="112" spans="7:32" ht="12.75">
      <c r="G112" s="10">
        <f>G57</f>
        <v>-3367504.4172465196</v>
      </c>
      <c r="H112" s="10">
        <f>H57</f>
        <v>-2683523.489421157</v>
      </c>
      <c r="J112" s="56">
        <f t="shared" si="36"/>
        <v>-14879.682570318973</v>
      </c>
      <c r="K112" s="57">
        <f t="shared" si="38"/>
        <v>0.00439453125</v>
      </c>
      <c r="L112" s="53">
        <f>Prob_up^1*Prob_down^5</f>
        <v>0.000732421875</v>
      </c>
      <c r="M112" s="63">
        <f>B107+IF(B99="YES",C117,C107+IF(C99="YES",D118,D108+IF(D100="YES",E119,E109+IF(E101="YES",F120,F110+IF(F102="YES",G121,G111+IF(G103="YES",H122,H112))))))</f>
        <v>-3152856.2343828822</v>
      </c>
      <c r="N112" s="63">
        <f>B107+IF(B99="YES",C118,C108+IF(C100="YES",D118,D108+IF(D100="YES",E119,E109+IF(E101="YES",F120,F110+IF(F102="YES",G121,G111+IF(G103="YES",H122,H112))))))</f>
        <v>-3432574.073658524</v>
      </c>
      <c r="O112" s="63">
        <f>B107+IF(B99="YES",C118,C108+IF(C100="YES",D119,D109+IF(D101="YES",E119,E109+IF(E101="YES",F120,F110+IF(F102="YES",G121,G111+IF(G103="YES",H122,H112))))))</f>
        <v>-3432574.073658524</v>
      </c>
      <c r="P112" s="63">
        <f>B107+IF(B99="YES",C118,C108+IF(C100="YES",D119,D109+IF(D101="YES",E120,E110+IF(E102="YES",F120,F110+IF(F102="YES",G121,G111+IF(G103="YES",H122,H112))))))</f>
        <v>-3432574.073658524</v>
      </c>
      <c r="Q112" s="63">
        <f>B107+IF(B99="YES",C118,C108+IF(C100="YES",D119,D109+IF(D101="YES",E120,E110+IF(E102="YES",F121,F111+IF(F103="YES",G121,G111+IF(G103="YES",H122,H112))))))</f>
        <v>-3432574.073658524</v>
      </c>
      <c r="R112" s="63">
        <f>B107+IF(B99="YES",C118,C108+IF(C100="YES",D119,D109+IF(D101="YES",E120,E110+IF(E102="YES",F121,F111+IF(F103="YES",G122,G112+IF(G104="YES",H122,H112))))))</f>
        <v>-3432574.073658524</v>
      </c>
      <c r="S112" s="63"/>
      <c r="T112" s="63"/>
      <c r="U112" s="63"/>
      <c r="V112" s="63"/>
      <c r="W112" s="63"/>
      <c r="X112" s="63"/>
      <c r="Y112" s="63"/>
      <c r="Z112" s="63"/>
      <c r="AA112" s="63"/>
      <c r="AB112" s="63"/>
      <c r="AC112" s="63"/>
      <c r="AD112" s="63"/>
      <c r="AE112" s="63"/>
      <c r="AF112" s="63"/>
    </row>
    <row r="113" spans="8:32" ht="12.75">
      <c r="H113" s="10">
        <f>H58</f>
        <v>-3299122.909033086</v>
      </c>
      <c r="J113" s="56">
        <f t="shared" si="36"/>
        <v>-838.0307797017881</v>
      </c>
      <c r="K113" s="57">
        <f t="shared" si="38"/>
        <v>0.000244140625</v>
      </c>
      <c r="L113" s="53">
        <f>Prob_up^0*Prob_down^6</f>
        <v>0.000244140625</v>
      </c>
      <c r="M113" s="63">
        <f>B107+IF(B99="YES",C118,C108+IF(C100="YES",D119,D109+IF(D101="YES",E120,E110+IF(E102="YES",F121,F111+IF(F103="YES",G122,G112+IF(G104="YES",H123,H113))))))</f>
        <v>-3432574.073658524</v>
      </c>
      <c r="N113" s="63"/>
      <c r="O113" s="63"/>
      <c r="P113" s="63"/>
      <c r="Q113" s="63"/>
      <c r="R113" s="63"/>
      <c r="S113" s="63"/>
      <c r="T113" s="63"/>
      <c r="U113" s="63"/>
      <c r="V113" s="63"/>
      <c r="W113" s="63"/>
      <c r="X113" s="63"/>
      <c r="Y113" s="63"/>
      <c r="Z113" s="63"/>
      <c r="AA113" s="63"/>
      <c r="AB113" s="63"/>
      <c r="AC113" s="63"/>
      <c r="AD113" s="63"/>
      <c r="AE113" s="63"/>
      <c r="AF113" s="63"/>
    </row>
    <row r="114" spans="10:32" ht="15">
      <c r="J114" s="59">
        <f>SUM(J107:J113)</f>
        <v>763158.0192371535</v>
      </c>
      <c r="K114" s="55">
        <f>SUM(K107:K113)</f>
        <v>1</v>
      </c>
      <c r="L114" s="54"/>
      <c r="M114" s="61"/>
      <c r="N114" s="54"/>
      <c r="O114" s="54"/>
      <c r="P114" s="54"/>
      <c r="Q114" s="54"/>
      <c r="R114" s="54"/>
      <c r="S114" s="54"/>
      <c r="T114" s="54"/>
      <c r="U114" s="54"/>
      <c r="V114" s="54"/>
      <c r="W114" s="54"/>
      <c r="X114" s="54"/>
      <c r="Y114" s="54"/>
      <c r="Z114" s="54"/>
      <c r="AA114" s="54"/>
      <c r="AB114" s="54"/>
      <c r="AC114" s="54"/>
      <c r="AD114" s="54"/>
      <c r="AE114" s="54"/>
      <c r="AF114" s="54"/>
    </row>
    <row r="115" spans="10:32" ht="15">
      <c r="J115" s="67"/>
      <c r="K115" s="55"/>
      <c r="L115" s="54"/>
      <c r="M115" s="61"/>
      <c r="N115" s="54"/>
      <c r="O115" s="54"/>
      <c r="P115" s="54"/>
      <c r="Q115" s="54"/>
      <c r="R115" s="54"/>
      <c r="S115" s="54"/>
      <c r="T115" s="54"/>
      <c r="U115" s="54"/>
      <c r="V115" s="54"/>
      <c r="W115" s="54"/>
      <c r="X115" s="54"/>
      <c r="Y115" s="54"/>
      <c r="Z115" s="54"/>
      <c r="AA115" s="54"/>
      <c r="AB115" s="54"/>
      <c r="AC115" s="54"/>
      <c r="AD115" s="54"/>
      <c r="AE115" s="54"/>
      <c r="AF115" s="54"/>
    </row>
    <row r="116" spans="2:32" ht="12.75">
      <c r="B116" s="72" t="s">
        <v>28</v>
      </c>
      <c r="C116" s="72"/>
      <c r="D116" s="72"/>
      <c r="E116" s="72"/>
      <c r="F116" s="72"/>
      <c r="G116" s="72"/>
      <c r="H116" s="72"/>
      <c r="I116" s="54"/>
      <c r="J116" s="54"/>
      <c r="K116" s="58" t="s">
        <v>16</v>
      </c>
      <c r="L116" s="58" t="s">
        <v>17</v>
      </c>
      <c r="M116" s="70" t="s">
        <v>20</v>
      </c>
      <c r="N116" s="70"/>
      <c r="O116" s="70"/>
      <c r="P116" s="70"/>
      <c r="Q116" s="70"/>
      <c r="R116" s="70"/>
      <c r="S116" s="70"/>
      <c r="T116" s="70"/>
      <c r="U116" s="70"/>
      <c r="V116" s="70"/>
      <c r="W116" s="70"/>
      <c r="X116" s="70"/>
      <c r="Y116" s="70"/>
      <c r="Z116" s="70"/>
      <c r="AA116" s="70"/>
      <c r="AB116" s="70"/>
      <c r="AC116" s="70"/>
      <c r="AD116" s="70"/>
      <c r="AE116" s="70"/>
      <c r="AF116" s="70"/>
    </row>
    <row r="117" spans="2:32" ht="12.75">
      <c r="B117" s="10">
        <f aca="true" t="shared" si="39" ref="B117:G120">$M$5/(1+$I$6)^B$9</f>
        <v>-1000000</v>
      </c>
      <c r="C117" s="10">
        <f t="shared" si="39"/>
        <v>-892857.1428571427</v>
      </c>
      <c r="D117" s="10">
        <f t="shared" si="39"/>
        <v>-797193.8775510202</v>
      </c>
      <c r="E117" s="10">
        <f t="shared" si="39"/>
        <v>-711780.2478134108</v>
      </c>
      <c r="F117" s="10">
        <f t="shared" si="39"/>
        <v>-635518.0784048311</v>
      </c>
      <c r="G117" s="10">
        <f t="shared" si="39"/>
        <v>-567426.8557185993</v>
      </c>
      <c r="H117" s="10">
        <f>$M$5/(1+$I$6)^H$9</f>
        <v>-506631.12117732066</v>
      </c>
      <c r="I117" s="54"/>
      <c r="J117" s="54"/>
      <c r="K117" s="57">
        <f>L117*COUNTIF(M117:AF117,"YES")</f>
        <v>0</v>
      </c>
      <c r="L117" s="53">
        <f>Prob_up^6*Prob_down^0</f>
        <v>0.177978515625</v>
      </c>
      <c r="M117" s="54" t="str">
        <f>IF(M107=M52,"NO","YES")</f>
        <v>NO</v>
      </c>
      <c r="N117" s="54"/>
      <c r="O117" s="54"/>
      <c r="P117" s="54"/>
      <c r="Q117" s="54"/>
      <c r="R117" s="54"/>
      <c r="S117" s="54"/>
      <c r="T117" s="54"/>
      <c r="U117" s="54"/>
      <c r="V117" s="54"/>
      <c r="W117" s="54"/>
      <c r="X117" s="54"/>
      <c r="Y117" s="54"/>
      <c r="Z117" s="54"/>
      <c r="AA117" s="54"/>
      <c r="AB117" s="54"/>
      <c r="AC117" s="54"/>
      <c r="AD117" s="54"/>
      <c r="AE117" s="54"/>
      <c r="AF117" s="54"/>
    </row>
    <row r="118" spans="2:32" ht="12.75">
      <c r="B118" s="10"/>
      <c r="C118" s="10">
        <f t="shared" si="39"/>
        <v>-892857.1428571427</v>
      </c>
      <c r="D118" s="10">
        <f t="shared" si="39"/>
        <v>-797193.8775510202</v>
      </c>
      <c r="E118" s="10">
        <f t="shared" si="39"/>
        <v>-711780.2478134108</v>
      </c>
      <c r="F118" s="10">
        <f t="shared" si="39"/>
        <v>-635518.0784048311</v>
      </c>
      <c r="G118" s="10">
        <f t="shared" si="39"/>
        <v>-567426.8557185993</v>
      </c>
      <c r="H118" s="10">
        <f aca="true" t="shared" si="40" ref="F118:H123">$M$5/(1+$I$6)^H$9</f>
        <v>-506631.12117732066</v>
      </c>
      <c r="I118" s="54"/>
      <c r="J118" s="54"/>
      <c r="K118" s="57">
        <f aca="true" t="shared" si="41" ref="K118:K123">L118*COUNTIF(M118:AF118,"YES")</f>
        <v>0.11865234375</v>
      </c>
      <c r="L118" s="53">
        <f>Prob_up^5*Prob_down^1</f>
        <v>0.059326171875</v>
      </c>
      <c r="M118" s="54" t="str">
        <f aca="true" t="shared" si="42" ref="M118:AB123">IF(M108=M53,"NO","YES")</f>
        <v>NO</v>
      </c>
      <c r="N118" s="54" t="str">
        <f t="shared" si="42"/>
        <v>NO</v>
      </c>
      <c r="O118" s="54" t="str">
        <f t="shared" si="42"/>
        <v>NO</v>
      </c>
      <c r="P118" s="54" t="str">
        <f t="shared" si="42"/>
        <v>NO</v>
      </c>
      <c r="Q118" s="54" t="str">
        <f t="shared" si="42"/>
        <v>YES</v>
      </c>
      <c r="R118" s="54" t="str">
        <f t="shared" si="42"/>
        <v>YES</v>
      </c>
      <c r="S118" s="54"/>
      <c r="T118" s="54"/>
      <c r="U118" s="54"/>
      <c r="V118" s="54"/>
      <c r="W118" s="54"/>
      <c r="X118" s="54"/>
      <c r="Y118" s="54"/>
      <c r="Z118" s="54"/>
      <c r="AA118" s="54"/>
      <c r="AB118" s="54"/>
      <c r="AC118" s="54"/>
      <c r="AD118" s="54"/>
      <c r="AE118" s="54"/>
      <c r="AF118" s="54"/>
    </row>
    <row r="119" spans="2:32" ht="12.75">
      <c r="B119" s="10"/>
      <c r="C119" s="10"/>
      <c r="D119" s="10">
        <f t="shared" si="39"/>
        <v>-797193.8775510202</v>
      </c>
      <c r="E119" s="10">
        <f t="shared" si="39"/>
        <v>-711780.2478134108</v>
      </c>
      <c r="F119" s="10">
        <f t="shared" si="39"/>
        <v>-635518.0784048311</v>
      </c>
      <c r="G119" s="10">
        <f t="shared" si="39"/>
        <v>-567426.8557185993</v>
      </c>
      <c r="H119" s="10">
        <f t="shared" si="40"/>
        <v>-506631.12117732066</v>
      </c>
      <c r="I119" s="54"/>
      <c r="J119" s="54"/>
      <c r="K119" s="57">
        <f t="shared" si="41"/>
        <v>0.19775390625</v>
      </c>
      <c r="L119" s="53">
        <f>Prob_up^4*Prob_down^2</f>
        <v>0.019775390625</v>
      </c>
      <c r="M119" s="54" t="str">
        <f t="shared" si="42"/>
        <v>NO</v>
      </c>
      <c r="N119" s="54" t="str">
        <f t="shared" si="42"/>
        <v>NO</v>
      </c>
      <c r="O119" s="54" t="str">
        <f t="shared" si="42"/>
        <v>NO</v>
      </c>
      <c r="P119" s="54" t="str">
        <f t="shared" si="42"/>
        <v>NO</v>
      </c>
      <c r="Q119" s="54" t="str">
        <f t="shared" si="42"/>
        <v>NO</v>
      </c>
      <c r="R119" s="54" t="str">
        <f t="shared" si="42"/>
        <v>YES</v>
      </c>
      <c r="S119" s="54" t="str">
        <f t="shared" si="42"/>
        <v>YES</v>
      </c>
      <c r="T119" s="54" t="str">
        <f t="shared" si="42"/>
        <v>YES</v>
      </c>
      <c r="U119" s="54" t="str">
        <f t="shared" si="42"/>
        <v>YES</v>
      </c>
      <c r="V119" s="54" t="str">
        <f t="shared" si="42"/>
        <v>YES</v>
      </c>
      <c r="W119" s="54" t="str">
        <f t="shared" si="42"/>
        <v>YES</v>
      </c>
      <c r="X119" s="54" t="str">
        <f t="shared" si="42"/>
        <v>YES</v>
      </c>
      <c r="Y119" s="54" t="str">
        <f t="shared" si="42"/>
        <v>YES</v>
      </c>
      <c r="Z119" s="54" t="str">
        <f t="shared" si="42"/>
        <v>YES</v>
      </c>
      <c r="AA119" s="54" t="str">
        <f t="shared" si="42"/>
        <v>YES</v>
      </c>
      <c r="AB119" s="54"/>
      <c r="AC119" s="54"/>
      <c r="AD119" s="54"/>
      <c r="AE119" s="54"/>
      <c r="AF119" s="54"/>
    </row>
    <row r="120" spans="2:32" ht="12.75">
      <c r="B120" s="10"/>
      <c r="C120" s="10"/>
      <c r="D120" s="10"/>
      <c r="E120" s="10">
        <f t="shared" si="39"/>
        <v>-711780.2478134108</v>
      </c>
      <c r="F120" s="10">
        <f t="shared" si="39"/>
        <v>-635518.0784048311</v>
      </c>
      <c r="G120" s="10">
        <f t="shared" si="39"/>
        <v>-567426.8557185993</v>
      </c>
      <c r="H120" s="10">
        <f t="shared" si="40"/>
        <v>-506631.12117732066</v>
      </c>
      <c r="I120" s="54"/>
      <c r="J120" s="54"/>
      <c r="K120" s="57">
        <f t="shared" si="41"/>
        <v>0.11865234375</v>
      </c>
      <c r="L120" s="53">
        <f>Prob_up^3*Prob_down^3</f>
        <v>0.006591796875</v>
      </c>
      <c r="M120" s="54" t="str">
        <f t="shared" si="42"/>
        <v>NO</v>
      </c>
      <c r="N120" s="54" t="str">
        <f t="shared" si="42"/>
        <v>NO</v>
      </c>
      <c r="O120" s="54" t="str">
        <f t="shared" si="42"/>
        <v>YES</v>
      </c>
      <c r="P120" s="54" t="str">
        <f t="shared" si="42"/>
        <v>YES</v>
      </c>
      <c r="Q120" s="54" t="str">
        <f t="shared" si="42"/>
        <v>YES</v>
      </c>
      <c r="R120" s="54" t="str">
        <f t="shared" si="42"/>
        <v>YES</v>
      </c>
      <c r="S120" s="54" t="str">
        <f t="shared" si="42"/>
        <v>YES</v>
      </c>
      <c r="T120" s="54" t="str">
        <f t="shared" si="42"/>
        <v>YES</v>
      </c>
      <c r="U120" s="54" t="str">
        <f t="shared" si="42"/>
        <v>YES</v>
      </c>
      <c r="V120" s="54" t="str">
        <f t="shared" si="42"/>
        <v>YES</v>
      </c>
      <c r="W120" s="54" t="str">
        <f t="shared" si="42"/>
        <v>YES</v>
      </c>
      <c r="X120" s="54" t="str">
        <f t="shared" si="42"/>
        <v>YES</v>
      </c>
      <c r="Y120" s="54" t="str">
        <f t="shared" si="42"/>
        <v>YES</v>
      </c>
      <c r="Z120" s="54" t="str">
        <f t="shared" si="42"/>
        <v>YES</v>
      </c>
      <c r="AA120" s="54" t="str">
        <f t="shared" si="42"/>
        <v>YES</v>
      </c>
      <c r="AB120" s="54" t="str">
        <f t="shared" si="42"/>
        <v>YES</v>
      </c>
      <c r="AC120" s="54" t="str">
        <f>IF(AC110=AC55,"NO","YES")</f>
        <v>YES</v>
      </c>
      <c r="AD120" s="54" t="str">
        <f>IF(AD110=AD55,"NO","YES")</f>
        <v>YES</v>
      </c>
      <c r="AE120" s="54" t="str">
        <f>IF(AE110=AE55,"NO","YES")</f>
        <v>YES</v>
      </c>
      <c r="AF120" s="54" t="str">
        <f>IF(AF110=AF55,"NO","YES")</f>
        <v>YES</v>
      </c>
    </row>
    <row r="121" spans="2:32" ht="12.75">
      <c r="B121" s="10"/>
      <c r="C121" s="10"/>
      <c r="D121" s="10"/>
      <c r="E121" s="10"/>
      <c r="F121" s="10">
        <f t="shared" si="40"/>
        <v>-635518.0784048311</v>
      </c>
      <c r="G121" s="10">
        <f t="shared" si="40"/>
        <v>-567426.8557185993</v>
      </c>
      <c r="H121" s="10">
        <f t="shared" si="40"/>
        <v>-506631.12117732066</v>
      </c>
      <c r="I121" s="54"/>
      <c r="J121" s="54"/>
      <c r="K121" s="57">
        <f t="shared" si="41"/>
        <v>0.032958984375</v>
      </c>
      <c r="L121" s="53">
        <f>Prob_up^2*Prob_down^4</f>
        <v>0.002197265625</v>
      </c>
      <c r="M121" s="54" t="str">
        <f t="shared" si="42"/>
        <v>YES</v>
      </c>
      <c r="N121" s="54" t="str">
        <f t="shared" si="42"/>
        <v>YES</v>
      </c>
      <c r="O121" s="54" t="str">
        <f t="shared" si="42"/>
        <v>YES</v>
      </c>
      <c r="P121" s="54" t="str">
        <f t="shared" si="42"/>
        <v>YES</v>
      </c>
      <c r="Q121" s="54" t="str">
        <f t="shared" si="42"/>
        <v>YES</v>
      </c>
      <c r="R121" s="54" t="str">
        <f t="shared" si="42"/>
        <v>YES</v>
      </c>
      <c r="S121" s="54" t="str">
        <f t="shared" si="42"/>
        <v>YES</v>
      </c>
      <c r="T121" s="54" t="str">
        <f t="shared" si="42"/>
        <v>YES</v>
      </c>
      <c r="U121" s="54" t="str">
        <f t="shared" si="42"/>
        <v>YES</v>
      </c>
      <c r="V121" s="54" t="str">
        <f t="shared" si="42"/>
        <v>YES</v>
      </c>
      <c r="W121" s="54" t="str">
        <f t="shared" si="42"/>
        <v>YES</v>
      </c>
      <c r="X121" s="54" t="str">
        <f t="shared" si="42"/>
        <v>YES</v>
      </c>
      <c r="Y121" s="54" t="str">
        <f t="shared" si="42"/>
        <v>YES</v>
      </c>
      <c r="Z121" s="54" t="str">
        <f t="shared" si="42"/>
        <v>YES</v>
      </c>
      <c r="AA121" s="54" t="str">
        <f t="shared" si="42"/>
        <v>YES</v>
      </c>
      <c r="AB121" s="54"/>
      <c r="AC121" s="54"/>
      <c r="AD121" s="54"/>
      <c r="AE121" s="54"/>
      <c r="AF121" s="54"/>
    </row>
    <row r="122" spans="2:32" ht="12.75">
      <c r="B122" s="10"/>
      <c r="C122" s="10"/>
      <c r="D122" s="10"/>
      <c r="E122" s="10"/>
      <c r="F122" s="10"/>
      <c r="G122" s="10">
        <f t="shared" si="40"/>
        <v>-567426.8557185993</v>
      </c>
      <c r="H122" s="10">
        <f t="shared" si="40"/>
        <v>-506631.12117732066</v>
      </c>
      <c r="I122" s="54"/>
      <c r="J122" s="54"/>
      <c r="K122" s="57">
        <f t="shared" si="41"/>
        <v>0.00439453125</v>
      </c>
      <c r="L122" s="53">
        <f>Prob_up^1*Prob_down^5</f>
        <v>0.000732421875</v>
      </c>
      <c r="M122" s="54" t="str">
        <f t="shared" si="42"/>
        <v>YES</v>
      </c>
      <c r="N122" s="54" t="str">
        <f t="shared" si="42"/>
        <v>YES</v>
      </c>
      <c r="O122" s="54" t="str">
        <f t="shared" si="42"/>
        <v>YES</v>
      </c>
      <c r="P122" s="54" t="str">
        <f t="shared" si="42"/>
        <v>YES</v>
      </c>
      <c r="Q122" s="54" t="str">
        <f t="shared" si="42"/>
        <v>YES</v>
      </c>
      <c r="R122" s="54" t="str">
        <f t="shared" si="42"/>
        <v>YES</v>
      </c>
      <c r="S122" s="54"/>
      <c r="T122" s="54"/>
      <c r="U122" s="54"/>
      <c r="V122" s="54"/>
      <c r="W122" s="54"/>
      <c r="X122" s="54"/>
      <c r="Y122" s="54"/>
      <c r="Z122" s="54"/>
      <c r="AA122" s="54"/>
      <c r="AB122" s="54"/>
      <c r="AC122" s="54"/>
      <c r="AD122" s="54"/>
      <c r="AE122" s="54"/>
      <c r="AF122" s="54"/>
    </row>
    <row r="123" spans="2:32" ht="12.75">
      <c r="B123" s="10"/>
      <c r="C123" s="10"/>
      <c r="D123" s="10"/>
      <c r="E123" s="10"/>
      <c r="F123" s="10"/>
      <c r="G123" s="10"/>
      <c r="H123" s="10">
        <f t="shared" si="40"/>
        <v>-506631.12117732066</v>
      </c>
      <c r="I123" s="54"/>
      <c r="J123" s="54"/>
      <c r="K123" s="57">
        <f t="shared" si="41"/>
        <v>0.000244140625</v>
      </c>
      <c r="L123" s="53">
        <f>Prob_up^0*Prob_down^6</f>
        <v>0.000244140625</v>
      </c>
      <c r="M123" s="54" t="str">
        <f t="shared" si="42"/>
        <v>YES</v>
      </c>
      <c r="N123" s="54"/>
      <c r="O123" s="54"/>
      <c r="P123" s="54"/>
      <c r="Q123" s="54"/>
      <c r="R123" s="54"/>
      <c r="S123" s="54"/>
      <c r="T123" s="54"/>
      <c r="U123" s="54"/>
      <c r="V123" s="54"/>
      <c r="W123" s="54"/>
      <c r="X123" s="54"/>
      <c r="Y123" s="54"/>
      <c r="Z123" s="54"/>
      <c r="AA123" s="54"/>
      <c r="AB123" s="54"/>
      <c r="AC123" s="54"/>
      <c r="AD123" s="54"/>
      <c r="AE123" s="54"/>
      <c r="AF123" s="54"/>
    </row>
    <row r="124" spans="2:32" ht="12.75">
      <c r="B124" s="54"/>
      <c r="C124" s="54"/>
      <c r="D124" s="54"/>
      <c r="E124" s="54"/>
      <c r="F124" s="54"/>
      <c r="G124" s="54"/>
      <c r="H124" s="54"/>
      <c r="I124" s="54"/>
      <c r="J124" s="54"/>
      <c r="K124" s="60">
        <f>SUM(K117:K123)</f>
        <v>0.47265625</v>
      </c>
      <c r="L124" s="54"/>
      <c r="M124" s="54"/>
      <c r="N124" s="54"/>
      <c r="O124" s="54"/>
      <c r="P124" s="54"/>
      <c r="Q124" s="54"/>
      <c r="R124" s="54"/>
      <c r="S124" s="54"/>
      <c r="T124" s="54"/>
      <c r="U124" s="54"/>
      <c r="V124" s="54"/>
      <c r="W124" s="54"/>
      <c r="X124" s="54"/>
      <c r="Y124" s="54"/>
      <c r="Z124" s="54"/>
      <c r="AA124" s="54"/>
      <c r="AB124" s="54"/>
      <c r="AC124" s="54"/>
      <c r="AD124" s="54"/>
      <c r="AE124" s="54"/>
      <c r="AF124" s="54"/>
    </row>
    <row r="126" spans="1:32" ht="12.75">
      <c r="A126" s="44" t="s">
        <v>45</v>
      </c>
      <c r="B126" s="10">
        <f>B87</f>
        <v>763158.0192371537</v>
      </c>
      <c r="J126" s="3" t="s">
        <v>25</v>
      </c>
      <c r="Q126" s="53"/>
      <c r="R126" s="53"/>
      <c r="S126" s="53"/>
      <c r="T126" s="53"/>
      <c r="U126" s="53"/>
      <c r="V126" s="53"/>
      <c r="W126" s="53"/>
      <c r="X126" s="53"/>
      <c r="Y126" s="53"/>
      <c r="Z126" s="53"/>
      <c r="AA126" s="53"/>
      <c r="AB126" s="53"/>
      <c r="AC126" s="53"/>
      <c r="AD126" s="53"/>
      <c r="AE126" s="53"/>
      <c r="AF126" s="53"/>
    </row>
    <row r="127" spans="1:29" ht="12.75">
      <c r="A127" s="46" t="s">
        <v>46</v>
      </c>
      <c r="B127" s="10">
        <f>B76</f>
        <v>-398111.61711099825</v>
      </c>
      <c r="J127" s="3" t="s">
        <v>12</v>
      </c>
      <c r="K127" s="65" t="s">
        <v>23</v>
      </c>
      <c r="L127" s="65" t="s">
        <v>22</v>
      </c>
      <c r="M127" s="3"/>
      <c r="N127" s="3" t="s">
        <v>12</v>
      </c>
      <c r="O127" s="3" t="s">
        <v>24</v>
      </c>
      <c r="P127" s="65" t="s">
        <v>22</v>
      </c>
      <c r="Q127" s="63"/>
      <c r="R127" s="63"/>
      <c r="S127" s="63"/>
      <c r="T127" s="63"/>
      <c r="U127" s="63"/>
      <c r="V127" s="63"/>
      <c r="W127" s="63"/>
      <c r="X127" s="63"/>
      <c r="Y127" s="63"/>
      <c r="Z127" s="63"/>
      <c r="AA127" s="63"/>
      <c r="AB127" s="63"/>
      <c r="AC127" s="64"/>
    </row>
    <row r="128" spans="1:17" ht="12.75">
      <c r="A128" s="21" t="s">
        <v>41</v>
      </c>
      <c r="B128" s="47">
        <f>B126-B127</f>
        <v>1161269.636348152</v>
      </c>
      <c r="C128" s="49" t="s">
        <v>61</v>
      </c>
      <c r="J128" s="62">
        <f>$L$113</f>
        <v>0.000244140625</v>
      </c>
      <c r="K128" s="63">
        <f>$M$113</f>
        <v>-3432574.073658524</v>
      </c>
      <c r="L128" s="62">
        <f>J128</f>
        <v>0.000244140625</v>
      </c>
      <c r="N128" s="62">
        <f>$L$113</f>
        <v>0.000244140625</v>
      </c>
      <c r="O128" s="63">
        <f>$M$58</f>
        <v>-18976039.68770992</v>
      </c>
      <c r="P128" s="62">
        <f>N128</f>
        <v>0.000244140625</v>
      </c>
      <c r="Q128" s="10"/>
    </row>
    <row r="129" spans="1:17" ht="12.75">
      <c r="A129" s="21" t="s">
        <v>42</v>
      </c>
      <c r="J129" s="62">
        <f>$L$112</f>
        <v>0.000732421875</v>
      </c>
      <c r="K129" s="63">
        <f>$R$112</f>
        <v>-3432574.073658524</v>
      </c>
      <c r="L129" s="62">
        <f aca="true" t="shared" si="43" ref="L129:L160">L128+J129</f>
        <v>0.0009765625</v>
      </c>
      <c r="N129" s="62">
        <f>$L$112</f>
        <v>0.000732421875</v>
      </c>
      <c r="O129" s="63">
        <f>$R$57</f>
        <v>-18360440.26809799</v>
      </c>
      <c r="P129" s="62">
        <f aca="true" t="shared" si="44" ref="P129:P160">P128+N129</f>
        <v>0.0009765625</v>
      </c>
      <c r="Q129" s="10"/>
    </row>
    <row r="130" spans="10:17" ht="12.75">
      <c r="J130" s="62">
        <f>$L$112</f>
        <v>0.000732421875</v>
      </c>
      <c r="K130" s="63">
        <f>$Q$112</f>
        <v>-3432574.073658524</v>
      </c>
      <c r="L130" s="62">
        <f t="shared" si="43"/>
        <v>0.001708984375</v>
      </c>
      <c r="N130" s="62">
        <f>$L$112</f>
        <v>0.000732421875</v>
      </c>
      <c r="O130" s="63">
        <f>$Q$57</f>
        <v>-17598456.583269916</v>
      </c>
      <c r="P130" s="62">
        <f t="shared" si="44"/>
        <v>0.001708984375</v>
      </c>
      <c r="Q130" s="10"/>
    </row>
    <row r="131" spans="10:17" ht="12.75">
      <c r="J131" s="62">
        <f>$L$112</f>
        <v>0.000732421875</v>
      </c>
      <c r="K131" s="63">
        <f>$P$112</f>
        <v>-3432574.073658524</v>
      </c>
      <c r="L131" s="62">
        <f t="shared" si="43"/>
        <v>0.00244140625</v>
      </c>
      <c r="N131" s="62">
        <f>$L$111</f>
        <v>0.002197265625</v>
      </c>
      <c r="O131" s="63">
        <f>$AA$56</f>
        <v>-16846561.754234105</v>
      </c>
      <c r="P131" s="62">
        <f t="shared" si="44"/>
        <v>0.00390625</v>
      </c>
      <c r="Q131" s="10"/>
    </row>
    <row r="132" spans="10:17" ht="12.75">
      <c r="J132" s="62">
        <f>$L$111</f>
        <v>0.002197265625</v>
      </c>
      <c r="K132" s="63">
        <f>$AA$111</f>
        <v>-3432574.073658524</v>
      </c>
      <c r="L132" s="62">
        <f t="shared" si="43"/>
        <v>0.004638671875</v>
      </c>
      <c r="N132" s="62">
        <f>$L$112</f>
        <v>0.000732421875</v>
      </c>
      <c r="O132" s="63">
        <f>$P$57</f>
        <v>-16655279.709727397</v>
      </c>
      <c r="P132" s="62">
        <f t="shared" si="44"/>
        <v>0.004638671875</v>
      </c>
      <c r="Q132" s="10"/>
    </row>
    <row r="133" spans="10:17" ht="12.75">
      <c r="J133" s="62">
        <f>$L$111</f>
        <v>0.002197265625</v>
      </c>
      <c r="K133" s="63">
        <f>$Z$111</f>
        <v>-3432574.073658524</v>
      </c>
      <c r="L133" s="62">
        <f t="shared" si="43"/>
        <v>0.0068359375</v>
      </c>
      <c r="N133" s="62">
        <f>$L$111</f>
        <v>0.002197265625</v>
      </c>
      <c r="O133" s="63">
        <f>$Z$56</f>
        <v>-15903384.880691588</v>
      </c>
      <c r="P133" s="62">
        <f t="shared" si="44"/>
        <v>0.0068359375</v>
      </c>
      <c r="Q133" s="10"/>
    </row>
    <row r="134" spans="10:16" ht="12.75">
      <c r="J134" s="62">
        <f>$L$111</f>
        <v>0.002197265625</v>
      </c>
      <c r="K134" s="63">
        <f>$Y$111</f>
        <v>-3432574.073658524</v>
      </c>
      <c r="L134" s="62">
        <f t="shared" si="43"/>
        <v>0.009033203125</v>
      </c>
      <c r="N134" s="62">
        <f>$L$112</f>
        <v>0.000732421875</v>
      </c>
      <c r="O134" s="63">
        <f>$O$57</f>
        <v>-15487823.460337808</v>
      </c>
      <c r="P134" s="62">
        <f t="shared" si="44"/>
        <v>0.007568359375</v>
      </c>
    </row>
    <row r="135" spans="10:16" ht="12.75">
      <c r="J135" s="62">
        <f>$L$110</f>
        <v>0.006591796875</v>
      </c>
      <c r="K135" s="63">
        <f>$AF$110</f>
        <v>-3432574.073658524</v>
      </c>
      <c r="L135" s="62">
        <f t="shared" si="43"/>
        <v>0.015625</v>
      </c>
      <c r="N135" s="62">
        <f>$L$111</f>
        <v>0.002197265625</v>
      </c>
      <c r="O135" s="63">
        <f>$Y$56</f>
        <v>-14972695.90636953</v>
      </c>
      <c r="P135" s="62">
        <f t="shared" si="44"/>
        <v>0.009765625</v>
      </c>
    </row>
    <row r="136" spans="10:16" ht="12.75">
      <c r="J136" s="62">
        <f>$L$112</f>
        <v>0.000732421875</v>
      </c>
      <c r="K136" s="63">
        <f>$O$112</f>
        <v>-3432574.073658524</v>
      </c>
      <c r="L136" s="62">
        <f t="shared" si="43"/>
        <v>0.016357421875</v>
      </c>
      <c r="N136" s="62">
        <f>$L$111</f>
        <v>0.002197265625</v>
      </c>
      <c r="O136" s="63">
        <f>$X$56</f>
        <v>-14735928.631302</v>
      </c>
      <c r="P136" s="62">
        <f t="shared" si="44"/>
        <v>0.011962890625</v>
      </c>
    </row>
    <row r="137" spans="10:16" ht="12.75">
      <c r="J137" s="62">
        <f>$L$111</f>
        <v>0.002197265625</v>
      </c>
      <c r="K137" s="63">
        <f>$X$111</f>
        <v>-3432574.073658524</v>
      </c>
      <c r="L137" s="62">
        <f t="shared" si="43"/>
        <v>0.0185546875</v>
      </c>
      <c r="N137" s="62">
        <f>$L$110</f>
        <v>0.006591796875</v>
      </c>
      <c r="O137" s="63">
        <f>$AF$55</f>
        <v>-14054329.488338822</v>
      </c>
      <c r="P137" s="62">
        <f t="shared" si="44"/>
        <v>0.0185546875</v>
      </c>
    </row>
    <row r="138" spans="10:16" ht="12">
      <c r="J138" s="62">
        <f>$L$111</f>
        <v>0.002197265625</v>
      </c>
      <c r="K138" s="63">
        <f>$W$111</f>
        <v>-3432574.073658524</v>
      </c>
      <c r="L138" s="62">
        <f t="shared" si="43"/>
        <v>0.020751953125</v>
      </c>
      <c r="N138" s="62">
        <f>$L$112</f>
        <v>0.000732421875</v>
      </c>
      <c r="O138" s="63">
        <f>$N$57</f>
        <v>-14042756.121992636</v>
      </c>
      <c r="P138" s="62">
        <f t="shared" si="44"/>
        <v>0.019287109375</v>
      </c>
    </row>
    <row r="139" spans="10:16" ht="12">
      <c r="J139" s="62">
        <f>$L$110</f>
        <v>0.006591796875</v>
      </c>
      <c r="K139" s="63">
        <f>$AE$110</f>
        <v>-3432574.073658524</v>
      </c>
      <c r="L139" s="62">
        <f t="shared" si="43"/>
        <v>0.02734375</v>
      </c>
      <c r="N139" s="62">
        <f>$L$111</f>
        <v>0.002197265625</v>
      </c>
      <c r="O139" s="63">
        <f>$W$56</f>
        <v>-13805239.65697994</v>
      </c>
      <c r="P139" s="62">
        <f t="shared" si="44"/>
        <v>0.021484375</v>
      </c>
    </row>
    <row r="140" spans="10:16" ht="12">
      <c r="J140" s="62">
        <f>$L$111</f>
        <v>0.002197265625</v>
      </c>
      <c r="K140" s="63">
        <f>$V$111</f>
        <v>-3432574.073658524</v>
      </c>
      <c r="L140" s="62">
        <f t="shared" si="43"/>
        <v>0.029541015625</v>
      </c>
      <c r="N140" s="62">
        <f>$L$111</f>
        <v>0.002197265625</v>
      </c>
      <c r="O140" s="63">
        <f>$U$56</f>
        <v>-13290861.292956827</v>
      </c>
      <c r="P140" s="62">
        <f t="shared" si="44"/>
        <v>0.023681640625</v>
      </c>
    </row>
    <row r="141" spans="10:16" ht="12">
      <c r="J141" s="62">
        <f>$L$112</f>
        <v>0.000732421875</v>
      </c>
      <c r="K141" s="63">
        <f>$N$112</f>
        <v>-3432574.073658524</v>
      </c>
      <c r="L141" s="62">
        <f t="shared" si="43"/>
        <v>0.0302734375</v>
      </c>
      <c r="N141" s="62">
        <f>$L$110</f>
        <v>0.006591796875</v>
      </c>
      <c r="O141" s="63">
        <f>$AE$55</f>
        <v>-12886873.238949234</v>
      </c>
      <c r="P141" s="62">
        <f t="shared" si="44"/>
        <v>0.0302734375</v>
      </c>
    </row>
    <row r="142" spans="10:16" ht="12">
      <c r="J142" s="62">
        <f>$L$111</f>
        <v>0.002197265625</v>
      </c>
      <c r="K142" s="63">
        <f>$U$111</f>
        <v>-3432574.073658524</v>
      </c>
      <c r="L142" s="62">
        <f t="shared" si="43"/>
        <v>0.032470703125</v>
      </c>
      <c r="N142" s="62">
        <f>$L$111</f>
        <v>0.002197265625</v>
      </c>
      <c r="O142" s="63">
        <f>$V$56</f>
        <v>-12653240.822202222</v>
      </c>
      <c r="P142" s="62">
        <f t="shared" si="44"/>
        <v>0.032470703125</v>
      </c>
    </row>
    <row r="143" spans="10:16" ht="12">
      <c r="J143" s="62">
        <f>$L$111</f>
        <v>0.002197265625</v>
      </c>
      <c r="K143" s="63">
        <f>$T$111</f>
        <v>-3432574.073658524</v>
      </c>
      <c r="L143" s="62">
        <f t="shared" si="43"/>
        <v>0.03466796875</v>
      </c>
      <c r="N143" s="62">
        <f>$L$111</f>
        <v>0.002197265625</v>
      </c>
      <c r="O143" s="63">
        <f>$T$56</f>
        <v>-12360172.318634769</v>
      </c>
      <c r="P143" s="62">
        <f t="shared" si="44"/>
        <v>0.03466796875</v>
      </c>
    </row>
    <row r="144" spans="10:16" ht="12">
      <c r="J144" s="62">
        <f>$L$110</f>
        <v>0.006591796875</v>
      </c>
      <c r="K144" s="63">
        <f>$AB$110</f>
        <v>-3432574.073658524</v>
      </c>
      <c r="L144" s="62">
        <f t="shared" si="43"/>
        <v>0.041259765625</v>
      </c>
      <c r="N144" s="62">
        <f>$L$112</f>
        <v>0.000732421875</v>
      </c>
      <c r="O144" s="63">
        <f>$M$57</f>
        <v>-12254064.157352565</v>
      </c>
      <c r="P144" s="62">
        <f t="shared" si="44"/>
        <v>0.035400390625</v>
      </c>
    </row>
    <row r="145" spans="10:16" ht="12">
      <c r="J145" s="62">
        <f>$L$110</f>
        <v>0.006591796875</v>
      </c>
      <c r="K145" s="63">
        <f>$AD$110</f>
        <v>-3432574.073658524</v>
      </c>
      <c r="L145" s="62">
        <f t="shared" si="43"/>
        <v>0.0478515625</v>
      </c>
      <c r="N145" s="62">
        <f>$L$110</f>
        <v>0.006591796875</v>
      </c>
      <c r="O145" s="63">
        <f>$AD$55</f>
        <v>-11734874.404171515</v>
      </c>
      <c r="P145" s="62">
        <f t="shared" si="44"/>
        <v>0.0419921875</v>
      </c>
    </row>
    <row r="146" spans="10:16" ht="12">
      <c r="J146" s="62">
        <f>$L$111</f>
        <v>0.002197265625</v>
      </c>
      <c r="K146" s="63">
        <f>$S$111</f>
        <v>-3432574.073658524</v>
      </c>
      <c r="L146" s="62">
        <f t="shared" si="43"/>
        <v>0.050048828125</v>
      </c>
      <c r="N146" s="62">
        <f>$L$111</f>
        <v>0.002197265625</v>
      </c>
      <c r="O146" s="63">
        <f>$Q$56</f>
        <v>-11502169.328316756</v>
      </c>
      <c r="P146" s="62">
        <f t="shared" si="44"/>
        <v>0.044189453125</v>
      </c>
    </row>
    <row r="147" spans="10:16" ht="12">
      <c r="J147" s="62">
        <f>$L$110</f>
        <v>0.006591796875</v>
      </c>
      <c r="K147" s="63">
        <f>$AC$110</f>
        <v>-3432574.073658524</v>
      </c>
      <c r="L147" s="62">
        <f t="shared" si="43"/>
        <v>0.056640625</v>
      </c>
      <c r="N147" s="62">
        <f>$L$110</f>
        <v>0.006591796875</v>
      </c>
      <c r="O147" s="63">
        <f>$AB$55</f>
        <v>-11441805.900604062</v>
      </c>
      <c r="P147" s="62">
        <f t="shared" si="44"/>
        <v>0.05078125</v>
      </c>
    </row>
    <row r="148" spans="10:16" ht="12">
      <c r="J148" s="62">
        <f>$L$110</f>
        <v>0.006591796875</v>
      </c>
      <c r="K148" s="63">
        <f>$AA$110</f>
        <v>-3432574.073658524</v>
      </c>
      <c r="L148" s="62">
        <f t="shared" si="43"/>
        <v>0.063232421875</v>
      </c>
      <c r="N148" s="62">
        <f>$L$111</f>
        <v>0.002197265625</v>
      </c>
      <c r="O148" s="63">
        <f>$S$56</f>
        <v>-11208173.483857052</v>
      </c>
      <c r="P148" s="62">
        <f t="shared" si="44"/>
        <v>0.052978515625</v>
      </c>
    </row>
    <row r="149" spans="10:16" ht="12">
      <c r="J149" s="62">
        <f>$L$111</f>
        <v>0.002197265625</v>
      </c>
      <c r="K149" s="63">
        <f>$R$111</f>
        <v>-3432574.073658524</v>
      </c>
      <c r="L149" s="62">
        <f t="shared" si="43"/>
        <v>0.0654296875</v>
      </c>
      <c r="N149" s="62">
        <f>$L$110</f>
        <v>0.006591796875</v>
      </c>
      <c r="O149" s="63">
        <f>$AC$55</f>
        <v>-10598128.323945295</v>
      </c>
      <c r="P149" s="62">
        <f t="shared" si="44"/>
        <v>0.0595703125</v>
      </c>
    </row>
    <row r="150" spans="10:16" ht="12">
      <c r="J150" s="62">
        <f>$L$109</f>
        <v>0.019775390625</v>
      </c>
      <c r="K150" s="63">
        <f>$AA$109</f>
        <v>-3432574.073658524</v>
      </c>
      <c r="L150" s="62">
        <f t="shared" si="43"/>
        <v>0.085205078125</v>
      </c>
      <c r="N150" s="62">
        <f>$L$111</f>
        <v>0.002197265625</v>
      </c>
      <c r="O150" s="63">
        <f>$P$56</f>
        <v>-10571480.353994697</v>
      </c>
      <c r="P150" s="62">
        <f t="shared" si="44"/>
        <v>0.061767578125</v>
      </c>
    </row>
    <row r="151" spans="10:16" ht="12">
      <c r="J151" s="62">
        <f>$L$110</f>
        <v>0.006591796875</v>
      </c>
      <c r="K151" s="63">
        <f>$Z$110</f>
        <v>-3432574.073658524</v>
      </c>
      <c r="L151" s="62">
        <f t="shared" si="43"/>
        <v>0.091796875</v>
      </c>
      <c r="N151" s="62">
        <f>$L$110</f>
        <v>0.006591796875</v>
      </c>
      <c r="O151" s="63">
        <f>$AA$55</f>
        <v>-10289807.065826345</v>
      </c>
      <c r="P151" s="62">
        <f t="shared" si="44"/>
        <v>0.068359375</v>
      </c>
    </row>
    <row r="152" spans="10:16" ht="12">
      <c r="J152" s="62">
        <f>$L$110</f>
        <v>0.006591796875</v>
      </c>
      <c r="K152" s="63">
        <f>$Y$110</f>
        <v>-3432574.073658524</v>
      </c>
      <c r="L152" s="62">
        <f t="shared" si="43"/>
        <v>0.098388671875</v>
      </c>
      <c r="N152" s="62">
        <f>$L$111</f>
        <v>0.002197265625</v>
      </c>
      <c r="O152" s="63">
        <f>$R$56</f>
        <v>-9782239.20082128</v>
      </c>
      <c r="P152" s="62">
        <f t="shared" si="44"/>
        <v>0.070556640625</v>
      </c>
    </row>
    <row r="153" spans="10:16" ht="12">
      <c r="J153" s="62">
        <f>$L$109</f>
        <v>0.019775390625</v>
      </c>
      <c r="K153" s="63">
        <f>$Z$109</f>
        <v>-3432574.073658524</v>
      </c>
      <c r="L153" s="62">
        <f t="shared" si="43"/>
        <v>0.1181640625</v>
      </c>
      <c r="N153" s="62">
        <f>$L$110</f>
        <v>0.006591796875</v>
      </c>
      <c r="O153" s="63">
        <f>$V$55</f>
        <v>-9653113.93596399</v>
      </c>
      <c r="P153" s="62">
        <f t="shared" si="44"/>
        <v>0.0771484375</v>
      </c>
    </row>
    <row r="154" spans="10:16" ht="12">
      <c r="J154" s="62">
        <f>$L$110</f>
        <v>0.006591796875</v>
      </c>
      <c r="K154" s="63">
        <f>$X$110</f>
        <v>-3432574.073658524</v>
      </c>
      <c r="L154" s="62">
        <f t="shared" si="43"/>
        <v>0.124755859375</v>
      </c>
      <c r="N154" s="62">
        <f>$L$109</f>
        <v>0.019775390625</v>
      </c>
      <c r="O154" s="63">
        <f>$AA$54</f>
        <v>-9476433.047960915</v>
      </c>
      <c r="P154" s="62">
        <f t="shared" si="44"/>
        <v>0.096923828125</v>
      </c>
    </row>
    <row r="155" spans="10:16" ht="12">
      <c r="J155" s="62">
        <f>$L$109</f>
        <v>0.019775390625</v>
      </c>
      <c r="K155" s="63">
        <f>$Y$109</f>
        <v>-3432574.073658524</v>
      </c>
      <c r="L155" s="62">
        <f t="shared" si="43"/>
        <v>0.14453125</v>
      </c>
      <c r="N155" s="62">
        <f>$L$111</f>
        <v>0.002197265625</v>
      </c>
      <c r="O155" s="63">
        <f>$O$56</f>
        <v>-9419481.519216979</v>
      </c>
      <c r="P155" s="62">
        <f t="shared" si="44"/>
        <v>0.09912109375</v>
      </c>
    </row>
    <row r="156" spans="10:16" ht="12">
      <c r="J156" s="62">
        <f>$L$110</f>
        <v>0.006591796875</v>
      </c>
      <c r="K156" s="63">
        <f>$W$110</f>
        <v>-3432574.073658524</v>
      </c>
      <c r="L156" s="62">
        <f t="shared" si="43"/>
        <v>0.151123046875</v>
      </c>
      <c r="N156" s="62">
        <f>$L$110</f>
        <v>0.006591796875</v>
      </c>
      <c r="O156" s="63">
        <f>$Z$55</f>
        <v>-9153060.985600123</v>
      </c>
      <c r="P156" s="62">
        <f t="shared" si="44"/>
        <v>0.105712890625</v>
      </c>
    </row>
    <row r="157" spans="10:16" ht="12">
      <c r="J157" s="62">
        <f>$L$109</f>
        <v>0.019775390625</v>
      </c>
      <c r="K157" s="63">
        <f>$X$109</f>
        <v>-3432574.073658524</v>
      </c>
      <c r="L157" s="62">
        <f t="shared" si="43"/>
        <v>0.1708984375</v>
      </c>
      <c r="N157" s="62">
        <f>$L$110</f>
        <v>0.006591796875</v>
      </c>
      <c r="O157" s="63">
        <f>$Y$55</f>
        <v>-8863872.782790573</v>
      </c>
      <c r="P157" s="62">
        <f t="shared" si="44"/>
        <v>0.1123046875</v>
      </c>
    </row>
    <row r="158" spans="10:16" ht="12">
      <c r="J158" s="62">
        <f>$L$109</f>
        <v>0.019775390625</v>
      </c>
      <c r="K158" s="63">
        <f>$W$109</f>
        <v>-3432574.073658524</v>
      </c>
      <c r="L158" s="62">
        <f t="shared" si="43"/>
        <v>0.190673828125</v>
      </c>
      <c r="N158" s="62">
        <f>$L$110</f>
        <v>0.006591796875</v>
      </c>
      <c r="O158" s="63">
        <f>$U$55</f>
        <v>-8501115.101186272</v>
      </c>
      <c r="P158" s="62">
        <f t="shared" si="44"/>
        <v>0.118896484375</v>
      </c>
    </row>
    <row r="159" spans="10:16" ht="12">
      <c r="J159" s="62">
        <f>$L$108</f>
        <v>0.059326171875</v>
      </c>
      <c r="K159" s="63">
        <f>$R$108</f>
        <v>-3432574.073658524</v>
      </c>
      <c r="L159" s="62">
        <f t="shared" si="43"/>
        <v>0.25</v>
      </c>
      <c r="N159" s="62">
        <f>$L$109</f>
        <v>0.019775390625</v>
      </c>
      <c r="O159" s="63">
        <f>$Z$54</f>
        <v>-8031365.709615743</v>
      </c>
      <c r="P159" s="62">
        <f t="shared" si="44"/>
        <v>0.138671875</v>
      </c>
    </row>
    <row r="160" spans="10:16" ht="12">
      <c r="J160" s="62">
        <f>$L$111</f>
        <v>0.002197265625</v>
      </c>
      <c r="K160" s="63">
        <f>$M$111</f>
        <v>-3189504.4406361035</v>
      </c>
      <c r="L160" s="62">
        <f t="shared" si="43"/>
        <v>0.252197265625</v>
      </c>
      <c r="N160" s="62">
        <f>$L$111</f>
        <v>0.002197265625</v>
      </c>
      <c r="O160" s="63">
        <f>$N$56</f>
        <v>-7993547.236181207</v>
      </c>
      <c r="P160" s="62">
        <f t="shared" si="44"/>
        <v>0.140869140625</v>
      </c>
    </row>
    <row r="161" spans="10:16" ht="12">
      <c r="J161" s="62">
        <f>$L$110</f>
        <v>0.006591796875</v>
      </c>
      <c r="K161" s="63">
        <f>$P$110</f>
        <v>-3189504.4406361035</v>
      </c>
      <c r="L161" s="62">
        <f aca="true" t="shared" si="45" ref="L161:L191">L160+J161</f>
        <v>0.2587890625</v>
      </c>
      <c r="N161" s="62">
        <f>$L$110</f>
        <v>0.006591796875</v>
      </c>
      <c r="O161" s="63">
        <f>$X$55</f>
        <v>-7727126.702564352</v>
      </c>
      <c r="P161" s="62">
        <f aca="true" t="shared" si="46" ref="P161:P191">P160+N161</f>
        <v>0.1474609375</v>
      </c>
    </row>
    <row r="162" spans="10:16" ht="12">
      <c r="J162" s="62">
        <f>$L$110</f>
        <v>0.006591796875</v>
      </c>
      <c r="K162" s="63">
        <f>$O$110</f>
        <v>-3189504.4406361035</v>
      </c>
      <c r="L162" s="62">
        <f t="shared" si="45"/>
        <v>0.265380859375</v>
      </c>
      <c r="N162" s="62">
        <f>$L$110</f>
        <v>0.006591796875</v>
      </c>
      <c r="O162" s="63">
        <f>$T$55</f>
        <v>-7364369.020960052</v>
      </c>
      <c r="P162" s="62">
        <f t="shared" si="46"/>
        <v>0.154052734375</v>
      </c>
    </row>
    <row r="163" spans="10:16" ht="12">
      <c r="J163" s="62">
        <f>$L$109</f>
        <v>0.019775390625</v>
      </c>
      <c r="K163" s="63">
        <f>$R$109</f>
        <v>-3189504.4406361035</v>
      </c>
      <c r="L163" s="62">
        <f t="shared" si="45"/>
        <v>0.28515625</v>
      </c>
      <c r="N163" s="62">
        <f>$L$110</f>
        <v>0.006591796875</v>
      </c>
      <c r="O163" s="63">
        <f>$S$55</f>
        <v>-7075180.818150501</v>
      </c>
      <c r="P163" s="62">
        <f t="shared" si="46"/>
        <v>0.16064453125</v>
      </c>
    </row>
    <row r="164" spans="10:16" ht="12">
      <c r="J164" s="62">
        <f>$L$112</f>
        <v>0.000732421875</v>
      </c>
      <c r="K164" s="63">
        <f>$M$112</f>
        <v>-3152856.2343828822</v>
      </c>
      <c r="L164" s="62">
        <f t="shared" si="45"/>
        <v>0.285888671875</v>
      </c>
      <c r="N164" s="62">
        <f>$L$109</f>
        <v>0.019775390625</v>
      </c>
      <c r="O164" s="63">
        <f>$Y$54</f>
        <v>-6605431.426579971</v>
      </c>
      <c r="P164" s="62">
        <f t="shared" si="46"/>
        <v>0.180419921875</v>
      </c>
    </row>
    <row r="165" spans="10:16" ht="12">
      <c r="J165" s="62">
        <f>$L$111</f>
        <v>0.002197265625</v>
      </c>
      <c r="K165" s="63">
        <f>$Q$111</f>
        <v>-3152856.2343828822</v>
      </c>
      <c r="L165" s="62">
        <f t="shared" si="45"/>
        <v>0.2880859375</v>
      </c>
      <c r="N165" s="62">
        <f>$L$110</f>
        <v>0.006591796875</v>
      </c>
      <c r="O165" s="63">
        <f>$W$55</f>
        <v>-6320072.148369544</v>
      </c>
      <c r="P165" s="62">
        <f t="shared" si="46"/>
        <v>0.18701171875</v>
      </c>
    </row>
    <row r="166" spans="10:16" ht="12">
      <c r="J166" s="62">
        <f>$L$111</f>
        <v>0.002197265625</v>
      </c>
      <c r="K166" s="63">
        <f>$P$111</f>
        <v>-3152856.2343828822</v>
      </c>
      <c r="L166" s="62">
        <f t="shared" si="45"/>
        <v>0.290283203125</v>
      </c>
      <c r="N166" s="62">
        <f>$L$109</f>
        <v>0.019775390625</v>
      </c>
      <c r="O166" s="63">
        <f>$V$54</f>
        <v>-6242673.74497567</v>
      </c>
      <c r="P166" s="62">
        <f t="shared" si="46"/>
        <v>0.206787109375</v>
      </c>
    </row>
    <row r="167" spans="10:16" ht="12">
      <c r="J167" s="62">
        <f>$L$110</f>
        <v>0.006591796875</v>
      </c>
      <c r="K167" s="63">
        <f>$V$110</f>
        <v>-3152856.2343828822</v>
      </c>
      <c r="L167" s="62">
        <f t="shared" si="45"/>
        <v>0.296875</v>
      </c>
      <c r="N167" s="62">
        <f>$L$111</f>
        <v>0.002197265625</v>
      </c>
      <c r="O167" s="63">
        <f>$M$56</f>
        <v>-6228538.00339924</v>
      </c>
      <c r="P167" s="62">
        <f t="shared" si="46"/>
        <v>0.208984375</v>
      </c>
    </row>
    <row r="168" spans="10:16" ht="12">
      <c r="J168" s="62">
        <f>$L$111</f>
        <v>0.002197265625</v>
      </c>
      <c r="K168" s="63">
        <f>$O$111</f>
        <v>-3152856.2343828822</v>
      </c>
      <c r="L168" s="62">
        <f t="shared" si="45"/>
        <v>0.299072265625</v>
      </c>
      <c r="N168" s="62">
        <f>$L$110</f>
        <v>0.006591796875</v>
      </c>
      <c r="O168" s="63">
        <f>$R$55</f>
        <v>-5938434.73792428</v>
      </c>
      <c r="P168" s="62">
        <f t="shared" si="46"/>
        <v>0.215576171875</v>
      </c>
    </row>
    <row r="169" spans="10:16" ht="12">
      <c r="J169" s="62">
        <f>$L$110</f>
        <v>0.006591796875</v>
      </c>
      <c r="K169" s="63">
        <f>$U$110</f>
        <v>-3152856.2343828822</v>
      </c>
      <c r="L169" s="62">
        <f t="shared" si="45"/>
        <v>0.3056640625</v>
      </c>
      <c r="N169" s="62">
        <f>$L$110</f>
        <v>0.006591796875</v>
      </c>
      <c r="O169" s="63">
        <f>$P$55</f>
        <v>-5310171.585368534</v>
      </c>
      <c r="P169" s="62">
        <f t="shared" si="46"/>
        <v>0.22216796875</v>
      </c>
    </row>
    <row r="170" spans="10:16" ht="12">
      <c r="J170" s="62">
        <f>$L$111</f>
        <v>0.002197265625</v>
      </c>
      <c r="K170" s="63">
        <f>$N$111</f>
        <v>-3152856.2343828822</v>
      </c>
      <c r="L170" s="62">
        <f t="shared" si="45"/>
        <v>0.307861328125</v>
      </c>
      <c r="N170" s="62">
        <f>$L$109</f>
        <v>0.019775390625</v>
      </c>
      <c r="O170" s="63">
        <f>$X$54</f>
        <v>-5198376.872385163</v>
      </c>
      <c r="P170" s="62">
        <f t="shared" si="46"/>
        <v>0.241943359375</v>
      </c>
    </row>
    <row r="171" spans="10:16" ht="12">
      <c r="J171" s="62">
        <f>$L$110</f>
        <v>0.006591796875</v>
      </c>
      <c r="K171" s="63">
        <f>$T$110</f>
        <v>-3152856.2343828822</v>
      </c>
      <c r="L171" s="62">
        <f t="shared" si="45"/>
        <v>0.314453125</v>
      </c>
      <c r="N171" s="62">
        <f>$L$109</f>
        <v>0.019775390625</v>
      </c>
      <c r="O171" s="63">
        <f>$U$54</f>
        <v>-4816739.461939898</v>
      </c>
      <c r="P171" s="62">
        <f t="shared" si="46"/>
        <v>0.26171875</v>
      </c>
    </row>
    <row r="172" spans="10:16" ht="12">
      <c r="J172" s="62">
        <f>$L$110</f>
        <v>0.006591796875</v>
      </c>
      <c r="K172" s="63">
        <f>$S$110</f>
        <v>-3152856.2343828822</v>
      </c>
      <c r="L172" s="62">
        <f t="shared" si="45"/>
        <v>0.321044921875</v>
      </c>
      <c r="N172" s="62">
        <f>$L$110</f>
        <v>0.006591796875</v>
      </c>
      <c r="O172" s="63">
        <f>$Q$55</f>
        <v>-4531380.183729473</v>
      </c>
      <c r="P172" s="62">
        <f t="shared" si="46"/>
        <v>0.268310546875</v>
      </c>
    </row>
    <row r="173" spans="10:16" ht="12">
      <c r="J173" s="62">
        <f>$L$109</f>
        <v>0.019775390625</v>
      </c>
      <c r="K173" s="63">
        <f>$V$109</f>
        <v>-3152856.2343828822</v>
      </c>
      <c r="L173" s="62">
        <f t="shared" si="45"/>
        <v>0.3408203125</v>
      </c>
      <c r="N173" s="62">
        <f>$L$110</f>
        <v>0.006591796875</v>
      </c>
      <c r="O173" s="63">
        <f>$O$55</f>
        <v>-4173425.505142312</v>
      </c>
      <c r="P173" s="62">
        <f t="shared" si="46"/>
        <v>0.27490234375</v>
      </c>
    </row>
    <row r="174" spans="10:16" ht="12">
      <c r="J174" s="62">
        <f>$L$110</f>
        <v>0.006591796875</v>
      </c>
      <c r="K174" s="63">
        <f>$R$110</f>
        <v>-3152856.2343828822</v>
      </c>
      <c r="L174" s="62">
        <f t="shared" si="45"/>
        <v>0.347412109375</v>
      </c>
      <c r="N174" s="62">
        <f>$L$109</f>
        <v>0.019775390625</v>
      </c>
      <c r="O174" s="63">
        <f>$W$54</f>
        <v>-3809952.0746690948</v>
      </c>
      <c r="P174" s="62">
        <f t="shared" si="46"/>
        <v>0.294677734375</v>
      </c>
    </row>
    <row r="175" spans="10:16" ht="12">
      <c r="J175" s="62">
        <f>$L$109</f>
        <v>0.019775390625</v>
      </c>
      <c r="K175" s="63">
        <f>$U$109</f>
        <v>-3152856.2343828822</v>
      </c>
      <c r="L175" s="62">
        <f t="shared" si="45"/>
        <v>0.3671875</v>
      </c>
      <c r="N175" s="62">
        <f>$L$109</f>
        <v>0.019775390625</v>
      </c>
      <c r="O175" s="63">
        <f>$T$54</f>
        <v>-3409684.9077450912</v>
      </c>
      <c r="P175" s="62">
        <f t="shared" si="46"/>
        <v>0.314453125</v>
      </c>
    </row>
    <row r="176" spans="10:16" ht="12">
      <c r="J176" s="62">
        <f>$L$110</f>
        <v>0.006591796875</v>
      </c>
      <c r="K176" s="63">
        <f>$Q$110</f>
        <v>-3152856.2343828822</v>
      </c>
      <c r="L176" s="62">
        <f t="shared" si="45"/>
        <v>0.373779296875</v>
      </c>
      <c r="N176" s="62">
        <f>$L$109</f>
        <v>0.019775390625</v>
      </c>
      <c r="O176" s="63">
        <f>$R$54</f>
        <v>-3051730.229157931</v>
      </c>
      <c r="P176" s="62">
        <f t="shared" si="46"/>
        <v>0.334228515625</v>
      </c>
    </row>
    <row r="177" spans="10:16" ht="12">
      <c r="J177" s="62">
        <f>$L$109</f>
        <v>0.019775390625</v>
      </c>
      <c r="K177" s="63">
        <f>$T$109</f>
        <v>-3152856.2343828822</v>
      </c>
      <c r="L177" s="62">
        <f t="shared" si="45"/>
        <v>0.3935546875</v>
      </c>
      <c r="N177" s="62">
        <f>$L$110</f>
        <v>0.006591796875</v>
      </c>
      <c r="O177" s="63">
        <f>$N$55</f>
        <v>-2766370.950947505</v>
      </c>
      <c r="P177" s="62">
        <f t="shared" si="46"/>
        <v>0.3408203125</v>
      </c>
    </row>
    <row r="178" spans="10:16" ht="12">
      <c r="J178" s="62">
        <f>$L$109</f>
        <v>0.019775390625</v>
      </c>
      <c r="K178" s="63">
        <f>$S$109</f>
        <v>-3152856.2343828822</v>
      </c>
      <c r="L178" s="62">
        <f t="shared" si="45"/>
        <v>0.413330078125</v>
      </c>
      <c r="N178" s="62">
        <f>$L$108</f>
        <v>0.059326171875</v>
      </c>
      <c r="O178" s="63">
        <f>$R$53</f>
        <v>-2439910.370766539</v>
      </c>
      <c r="P178" s="62">
        <f t="shared" si="46"/>
        <v>0.400146484375</v>
      </c>
    </row>
    <row r="179" spans="10:16" ht="12">
      <c r="J179" s="62">
        <f>$L$108</f>
        <v>0.059326171875</v>
      </c>
      <c r="K179" s="63">
        <f>$Q$108</f>
        <v>-3152856.2343828822</v>
      </c>
      <c r="L179" s="62">
        <f t="shared" si="45"/>
        <v>0.47265625</v>
      </c>
      <c r="N179" s="62">
        <f>$L$109</f>
        <v>0.019775390625</v>
      </c>
      <c r="O179" s="63">
        <f>$S$54</f>
        <v>-2021260.110029023</v>
      </c>
      <c r="P179" s="62">
        <f t="shared" si="46"/>
        <v>0.419921875</v>
      </c>
    </row>
    <row r="180" spans="10:16" ht="12">
      <c r="J180" s="62">
        <f>$L$110</f>
        <v>0.006591796875</v>
      </c>
      <c r="K180" s="63">
        <f>$N$110</f>
        <v>-2766370.950947505</v>
      </c>
      <c r="L180" s="62">
        <f t="shared" si="45"/>
        <v>0.479248046875</v>
      </c>
      <c r="N180" s="62">
        <f>$L$109</f>
        <v>0.019775390625</v>
      </c>
      <c r="O180" s="63">
        <f>$Q$54</f>
        <v>-1644675.6749631243</v>
      </c>
      <c r="P180" s="62">
        <f t="shared" si="46"/>
        <v>0.439697265625</v>
      </c>
    </row>
    <row r="181" spans="10:16" ht="12">
      <c r="J181" s="62">
        <f>$L$109</f>
        <v>0.019775390625</v>
      </c>
      <c r="K181" s="63">
        <f>$Q$109</f>
        <v>-1644675.674963124</v>
      </c>
      <c r="L181" s="62">
        <f t="shared" si="45"/>
        <v>0.4990234375</v>
      </c>
      <c r="N181" s="62">
        <f>$L$110</f>
        <v>0.006591796875</v>
      </c>
      <c r="O181" s="63">
        <f>$M$55</f>
        <v>-1024730.8846924689</v>
      </c>
      <c r="P181" s="62">
        <f t="shared" si="46"/>
        <v>0.4462890625</v>
      </c>
    </row>
    <row r="182" spans="10:16" ht="12">
      <c r="J182" s="62">
        <f>$L$110</f>
        <v>0.006591796875</v>
      </c>
      <c r="K182" s="63">
        <f>$M$110</f>
        <v>-1024730.8846924691</v>
      </c>
      <c r="L182" s="62">
        <f t="shared" si="45"/>
        <v>0.505615234375</v>
      </c>
      <c r="N182" s="62">
        <f>$L$108</f>
        <v>0.059326171875</v>
      </c>
      <c r="O182" s="63">
        <f>$Q$53</f>
        <v>-651218.4061264668</v>
      </c>
      <c r="P182" s="62">
        <f t="shared" si="46"/>
        <v>0.505615234375</v>
      </c>
    </row>
    <row r="183" spans="10:16" ht="12">
      <c r="J183" s="62">
        <f>$L$109</f>
        <v>0.019775390625</v>
      </c>
      <c r="K183" s="63">
        <f>$P$109</f>
        <v>-256250.877247056</v>
      </c>
      <c r="L183" s="62">
        <f t="shared" si="45"/>
        <v>0.525390625</v>
      </c>
      <c r="N183" s="62">
        <f>$L$109</f>
        <v>0.019775390625</v>
      </c>
      <c r="O183" s="63">
        <f>$P$54</f>
        <v>-256250.8772470561</v>
      </c>
      <c r="P183" s="62">
        <f t="shared" si="46"/>
        <v>0.525390625</v>
      </c>
    </row>
    <row r="184" spans="10:16" ht="12">
      <c r="J184" s="62">
        <f>$L$109</f>
        <v>0.019775390625</v>
      </c>
      <c r="K184" s="63">
        <f>$O$109</f>
        <v>96964.39129191183</v>
      </c>
      <c r="L184" s="62">
        <f t="shared" si="45"/>
        <v>0.545166015625</v>
      </c>
      <c r="N184" s="62">
        <f>$L$109</f>
        <v>0.019775390625</v>
      </c>
      <c r="O184" s="63">
        <f>$O$54</f>
        <v>96964.39129191183</v>
      </c>
      <c r="P184" s="62">
        <f t="shared" si="46"/>
        <v>0.545166015625</v>
      </c>
    </row>
    <row r="185" spans="10:16" ht="12">
      <c r="J185" s="62">
        <f>$L$108</f>
        <v>0.059326171875</v>
      </c>
      <c r="K185" s="63">
        <f>$P$108</f>
        <v>1113790.8266555</v>
      </c>
      <c r="L185" s="62">
        <f t="shared" si="45"/>
        <v>0.6044921875</v>
      </c>
      <c r="N185" s="62">
        <f>$L$108</f>
        <v>0.059326171875</v>
      </c>
      <c r="O185" s="63">
        <f>$P$53</f>
        <v>1113790.8266555</v>
      </c>
      <c r="P185" s="62">
        <f t="shared" si="46"/>
        <v>0.6044921875</v>
      </c>
    </row>
    <row r="186" spans="10:16" ht="12">
      <c r="J186" s="62">
        <f>$L$109</f>
        <v>0.019775390625</v>
      </c>
      <c r="K186" s="63">
        <f>$N$109</f>
        <v>1485389.1890079803</v>
      </c>
      <c r="L186" s="62">
        <f t="shared" si="45"/>
        <v>0.624267578125</v>
      </c>
      <c r="N186" s="62">
        <f>$L$109</f>
        <v>0.019775390625</v>
      </c>
      <c r="O186" s="63">
        <f>$N$54</f>
        <v>1485389.18900798</v>
      </c>
      <c r="P186" s="62">
        <f t="shared" si="46"/>
        <v>0.624267578125</v>
      </c>
    </row>
    <row r="187" spans="10:16" ht="12">
      <c r="J187" s="62">
        <f>$L$108</f>
        <v>0.059326171875</v>
      </c>
      <c r="K187" s="63">
        <f>$O$108</f>
        <v>2855430.892910536</v>
      </c>
      <c r="L187" s="62">
        <f t="shared" si="45"/>
        <v>0.68359375</v>
      </c>
      <c r="N187" s="62">
        <f>$L$108</f>
        <v>0.059326171875</v>
      </c>
      <c r="O187" s="63">
        <f>$O$53</f>
        <v>2855430.8929105364</v>
      </c>
      <c r="P187" s="62">
        <f t="shared" si="46"/>
        <v>0.68359375</v>
      </c>
    </row>
    <row r="188" spans="10:16" ht="12">
      <c r="J188" s="62">
        <f>$L$109</f>
        <v>0.019775390625</v>
      </c>
      <c r="K188" s="63">
        <f>$M$109</f>
        <v>3203969.5023833467</v>
      </c>
      <c r="L188" s="62">
        <f t="shared" si="45"/>
        <v>0.703369140625</v>
      </c>
      <c r="N188" s="62">
        <f>$L$109</f>
        <v>0.019775390625</v>
      </c>
      <c r="O188" s="63">
        <f>$M$54</f>
        <v>3203969.5023833467</v>
      </c>
      <c r="P188" s="62">
        <f t="shared" si="46"/>
        <v>0.703369140625</v>
      </c>
    </row>
    <row r="189" spans="10:16" ht="12">
      <c r="J189" s="62">
        <f>$L$108</f>
        <v>0.059326171875</v>
      </c>
      <c r="K189" s="63">
        <f>$N$108</f>
        <v>4574011.206285902</v>
      </c>
      <c r="L189" s="62">
        <f t="shared" si="45"/>
        <v>0.7626953125</v>
      </c>
      <c r="N189" s="62">
        <f>$L$108</f>
        <v>0.059326171875</v>
      </c>
      <c r="O189" s="63">
        <f>$N$53</f>
        <v>4574011.206285903</v>
      </c>
      <c r="P189" s="62">
        <f t="shared" si="46"/>
        <v>0.7626953125</v>
      </c>
    </row>
    <row r="190" spans="10:16" ht="12">
      <c r="J190" s="62">
        <f>$L$108</f>
        <v>0.059326171875</v>
      </c>
      <c r="K190" s="63">
        <f>$M$108</f>
        <v>6269837.083714285</v>
      </c>
      <c r="L190" s="62">
        <f t="shared" si="45"/>
        <v>0.822021484375</v>
      </c>
      <c r="N190" s="62">
        <f>$L$108</f>
        <v>0.059326171875</v>
      </c>
      <c r="O190" s="63">
        <f>$M$53</f>
        <v>6269837.083714285</v>
      </c>
      <c r="P190" s="62">
        <f t="shared" si="46"/>
        <v>0.822021484375</v>
      </c>
    </row>
    <row r="191" spans="10:16" ht="12">
      <c r="J191" s="62">
        <f>$L$107</f>
        <v>0.177978515625</v>
      </c>
      <c r="K191" s="63">
        <f>$M$107</f>
        <v>7943209.799655326</v>
      </c>
      <c r="L191" s="62">
        <f t="shared" si="45"/>
        <v>1</v>
      </c>
      <c r="N191" s="62">
        <f>$L$107</f>
        <v>0.177978515625</v>
      </c>
      <c r="O191" s="63">
        <f>$M$52</f>
        <v>7943209.799655326</v>
      </c>
      <c r="P191" s="62">
        <f t="shared" si="46"/>
        <v>1</v>
      </c>
    </row>
    <row r="192" spans="9:14" ht="12">
      <c r="I192" t="s">
        <v>21</v>
      </c>
      <c r="J192" s="62">
        <f>SUM(J128:J191)</f>
        <v>1</v>
      </c>
      <c r="N192" s="62">
        <f>SUM(N128:N191)</f>
        <v>1</v>
      </c>
    </row>
  </sheetData>
  <mergeCells count="4">
    <mergeCell ref="M51:AF51"/>
    <mergeCell ref="M106:AF106"/>
    <mergeCell ref="B116:H116"/>
    <mergeCell ref="M116:AF116"/>
  </mergeCells>
  <conditionalFormatting sqref="B99:G104">
    <cfRule type="cellIs" priority="1" dxfId="0" operator="equal" stopIfTrue="1">
      <formula>"NO"</formula>
    </cfRule>
  </conditionalFormatting>
  <conditionalFormatting sqref="H99:I99 C128">
    <cfRule type="cellIs" priority="2" dxfId="1" operator="equal" stopIfTrue="1">
      <formula>TRUE</formula>
    </cfRule>
  </conditionalFormatting>
  <printOptions/>
  <pageMargins left="0.75" right="0.75" top="1" bottom="1" header="0.5" footer="0.5"/>
  <pageSetup horizontalDpi="600" verticalDpi="600" orientation="portrait"/>
  <drawing r:id="rId3"/>
  <legacyDrawing r:id="rId2"/>
</worksheet>
</file>

<file path=xl/worksheets/sheet3.xml><?xml version="1.0" encoding="utf-8"?>
<worksheet xmlns="http://schemas.openxmlformats.org/spreadsheetml/2006/main" xmlns:r="http://schemas.openxmlformats.org/officeDocument/2006/relationships">
  <dimension ref="A1:IV204"/>
  <sheetViews>
    <sheetView workbookViewId="0" topLeftCell="A1">
      <pane ySplit="8" topLeftCell="BM9" activePane="bottomLeft" state="frozen"/>
      <selection pane="topLeft" activeCell="A1" sqref="A1"/>
      <selection pane="bottomLeft" activeCell="K203" sqref="K203"/>
    </sheetView>
  </sheetViews>
  <sheetFormatPr defaultColWidth="11.421875" defaultRowHeight="12.75" outlineLevelRow="1"/>
  <cols>
    <col min="1" max="1" width="18.7109375" style="0" customWidth="1"/>
    <col min="2" max="2" width="9.140625" style="0" bestFit="1" customWidth="1"/>
    <col min="3" max="3" width="11.7109375" style="0" bestFit="1" customWidth="1"/>
    <col min="4" max="4" width="10.421875" style="0" customWidth="1"/>
    <col min="5" max="5" width="10.7109375" style="0" customWidth="1"/>
    <col min="6" max="6" width="10.140625" style="0" bestFit="1" customWidth="1"/>
    <col min="7" max="7" width="10.28125" style="0" bestFit="1" customWidth="1"/>
    <col min="8" max="8" width="10.140625" style="0" customWidth="1"/>
    <col min="9" max="9" width="10.28125" style="0" bestFit="1" customWidth="1"/>
    <col min="10" max="10" width="9.8515625" style="0" customWidth="1"/>
    <col min="11" max="11" width="12.140625" style="0" customWidth="1"/>
    <col min="12" max="12" width="10.140625" style="0" customWidth="1"/>
    <col min="13" max="13" width="12.7109375" style="0" bestFit="1" customWidth="1"/>
    <col min="14" max="14" width="9.8515625" style="0" customWidth="1"/>
    <col min="15" max="15" width="11.140625" style="0" customWidth="1"/>
    <col min="16" max="16" width="10.140625" style="0" customWidth="1"/>
    <col min="17" max="18" width="12.7109375" style="0" customWidth="1"/>
    <col min="19" max="19" width="12.421875" style="0" customWidth="1"/>
    <col min="20" max="27" width="12.7109375" style="0" customWidth="1"/>
    <col min="28" max="28" width="12.421875" style="0" customWidth="1"/>
    <col min="29" max="29" width="12.7109375" style="0" customWidth="1"/>
    <col min="30" max="30" width="12.421875" style="0" customWidth="1"/>
    <col min="31" max="32" width="12.7109375" style="0" customWidth="1"/>
    <col min="33" max="16384" width="8.8515625" style="0" customWidth="1"/>
  </cols>
  <sheetData>
    <row r="1" ht="12.75">
      <c r="A1" s="3" t="s">
        <v>29</v>
      </c>
    </row>
    <row r="2" ht="12.75">
      <c r="A2" s="3" t="s">
        <v>30</v>
      </c>
    </row>
    <row r="3" ht="12.75">
      <c r="A3" s="3"/>
    </row>
    <row r="4" spans="1:6" ht="12.75">
      <c r="A4" t="s">
        <v>8</v>
      </c>
      <c r="B4">
        <v>2000</v>
      </c>
      <c r="E4" s="32" t="s">
        <v>56</v>
      </c>
      <c r="F4" s="51">
        <v>0.05</v>
      </c>
    </row>
    <row r="5" spans="1:12" ht="12.75">
      <c r="A5" s="26" t="s">
        <v>63</v>
      </c>
      <c r="B5" s="26">
        <f>0.5+0.5*(F4*SQRT(F6)/F5)</f>
        <v>0.75</v>
      </c>
      <c r="C5" s="26" t="s">
        <v>64</v>
      </c>
      <c r="D5" s="26">
        <f>1-B5</f>
        <v>0.25</v>
      </c>
      <c r="E5" s="50" t="s">
        <v>55</v>
      </c>
      <c r="F5" s="51">
        <v>0.1</v>
      </c>
      <c r="G5" s="8" t="s">
        <v>4</v>
      </c>
      <c r="H5">
        <v>5000</v>
      </c>
      <c r="I5" s="23">
        <v>8000</v>
      </c>
      <c r="K5" s="8" t="s">
        <v>6</v>
      </c>
      <c r="L5" s="9">
        <v>-1000000</v>
      </c>
    </row>
    <row r="6" spans="1:15" ht="12.75">
      <c r="A6" t="s">
        <v>65</v>
      </c>
      <c r="B6">
        <f>EXP(F5*SQRT(F6))</f>
        <v>1.1051709180756477</v>
      </c>
      <c r="E6" s="50" t="s">
        <v>62</v>
      </c>
      <c r="F6" s="32">
        <v>1</v>
      </c>
      <c r="G6" s="8" t="s">
        <v>5</v>
      </c>
      <c r="H6" s="7">
        <v>0.12</v>
      </c>
      <c r="K6" s="8" t="s">
        <v>36</v>
      </c>
      <c r="L6" s="9">
        <v>2200</v>
      </c>
      <c r="M6" s="23">
        <v>2400</v>
      </c>
      <c r="N6" s="9"/>
      <c r="O6" s="9"/>
    </row>
    <row r="7" spans="1:9" ht="12.75">
      <c r="A7" t="s">
        <v>66</v>
      </c>
      <c r="B7">
        <f>1/B6</f>
        <v>0.9048374180359595</v>
      </c>
      <c r="I7" s="7"/>
    </row>
    <row r="8" spans="2:12" ht="12.75">
      <c r="B8" s="1" t="s">
        <v>67</v>
      </c>
      <c r="C8" s="1" t="s">
        <v>68</v>
      </c>
      <c r="D8" s="1" t="s">
        <v>69</v>
      </c>
      <c r="E8" s="1" t="s">
        <v>70</v>
      </c>
      <c r="F8" s="1" t="s">
        <v>71</v>
      </c>
      <c r="G8" s="1" t="s">
        <v>72</v>
      </c>
      <c r="H8" s="1" t="s">
        <v>73</v>
      </c>
      <c r="I8" s="1" t="s">
        <v>74</v>
      </c>
      <c r="J8" s="1" t="s">
        <v>75</v>
      </c>
      <c r="K8" s="1" t="s">
        <v>76</v>
      </c>
      <c r="L8" s="1" t="s">
        <v>0</v>
      </c>
    </row>
    <row r="9" spans="1:12" ht="12.75">
      <c r="A9" s="3" t="s">
        <v>13</v>
      </c>
      <c r="B9" s="1">
        <v>0</v>
      </c>
      <c r="C9" s="1">
        <v>1</v>
      </c>
      <c r="D9" s="1">
        <v>2</v>
      </c>
      <c r="E9" s="1">
        <v>3</v>
      </c>
      <c r="F9" s="1">
        <v>4</v>
      </c>
      <c r="G9" s="1">
        <v>5</v>
      </c>
      <c r="H9" s="1">
        <v>6</v>
      </c>
      <c r="I9" s="1">
        <v>7</v>
      </c>
      <c r="J9" s="1">
        <v>8</v>
      </c>
      <c r="K9" s="1">
        <v>9</v>
      </c>
      <c r="L9" s="1">
        <v>10</v>
      </c>
    </row>
    <row r="10" spans="2:12" ht="12.75">
      <c r="B10" s="1"/>
      <c r="C10" s="1"/>
      <c r="D10" s="1"/>
      <c r="E10" s="1"/>
      <c r="F10" s="1"/>
      <c r="G10" s="1"/>
      <c r="H10" s="1"/>
      <c r="I10" s="1"/>
      <c r="J10" s="1"/>
      <c r="K10" s="1"/>
      <c r="L10" s="1"/>
    </row>
    <row r="11" spans="1:12" ht="12.75">
      <c r="A11" s="3" t="s">
        <v>7</v>
      </c>
      <c r="B11" s="2">
        <f>B4</f>
        <v>2000</v>
      </c>
      <c r="C11" s="2">
        <f aca="true" t="shared" si="0" ref="C11:L11">B11*$B6</f>
        <v>2210.3418361512954</v>
      </c>
      <c r="D11" s="2">
        <f t="shared" si="0"/>
        <v>2442.80551632034</v>
      </c>
      <c r="E11" s="2">
        <f t="shared" si="0"/>
        <v>2699.7176151520066</v>
      </c>
      <c r="F11" s="24">
        <f t="shared" si="0"/>
        <v>2983.6493952825413</v>
      </c>
      <c r="G11" s="2">
        <f t="shared" si="0"/>
        <v>3297.442541400257</v>
      </c>
      <c r="H11" s="2">
        <f t="shared" si="0"/>
        <v>3644.237600781019</v>
      </c>
      <c r="I11" s="2">
        <f t="shared" si="0"/>
        <v>4027.5054149409543</v>
      </c>
      <c r="J11" s="2">
        <f t="shared" si="0"/>
        <v>4451.081856984937</v>
      </c>
      <c r="K11" s="2">
        <f t="shared" si="0"/>
        <v>4919.206222313902</v>
      </c>
      <c r="L11" s="2">
        <f t="shared" si="0"/>
        <v>5436.563656918093</v>
      </c>
    </row>
    <row r="12" spans="2:12" ht="12.75">
      <c r="B12" s="2"/>
      <c r="C12" s="2">
        <f aca="true" t="shared" si="1" ref="C12:L12">B$11*$B7</f>
        <v>1809.6748360719191</v>
      </c>
      <c r="D12" s="2">
        <f t="shared" si="1"/>
        <v>2000</v>
      </c>
      <c r="E12" s="2">
        <f t="shared" si="1"/>
        <v>2210.3418361512954</v>
      </c>
      <c r="F12" s="2">
        <f t="shared" si="1"/>
        <v>2442.80551632034</v>
      </c>
      <c r="G12" s="2">
        <f t="shared" si="1"/>
        <v>2699.7176151520066</v>
      </c>
      <c r="H12" s="2">
        <f t="shared" si="1"/>
        <v>2983.6493952825413</v>
      </c>
      <c r="I12" s="2">
        <f t="shared" si="1"/>
        <v>3297.442541400257</v>
      </c>
      <c r="J12" s="2">
        <f t="shared" si="1"/>
        <v>3644.237600781019</v>
      </c>
      <c r="K12" s="2">
        <f t="shared" si="1"/>
        <v>4027.5054149409543</v>
      </c>
      <c r="L12" s="2">
        <f t="shared" si="1"/>
        <v>4451.081856984937</v>
      </c>
    </row>
    <row r="13" spans="2:12" ht="12.75">
      <c r="B13" s="2"/>
      <c r="C13" s="2"/>
      <c r="D13" s="2">
        <f>C12*$B$7</f>
        <v>1637.4615061559637</v>
      </c>
      <c r="E13" s="2">
        <f aca="true" t="shared" si="2" ref="E13:L13">D$12*$B7</f>
        <v>1809.6748360719191</v>
      </c>
      <c r="F13" s="2">
        <f t="shared" si="2"/>
        <v>2000</v>
      </c>
      <c r="G13" s="2">
        <f t="shared" si="2"/>
        <v>2210.3418361512954</v>
      </c>
      <c r="H13" s="2">
        <f t="shared" si="2"/>
        <v>2442.80551632034</v>
      </c>
      <c r="I13" s="2">
        <f t="shared" si="2"/>
        <v>2699.7176151520066</v>
      </c>
      <c r="J13" s="2">
        <f t="shared" si="2"/>
        <v>2983.6493952825413</v>
      </c>
      <c r="K13" s="2">
        <f t="shared" si="2"/>
        <v>3297.442541400257</v>
      </c>
      <c r="L13" s="2">
        <f t="shared" si="2"/>
        <v>3644.237600781019</v>
      </c>
    </row>
    <row r="14" spans="2:12" ht="12.75">
      <c r="B14" s="2"/>
      <c r="C14" s="2"/>
      <c r="D14" s="2"/>
      <c r="E14" s="2">
        <f aca="true" t="shared" si="3" ref="E14:L14">D13*$B$7</f>
        <v>1481.6364413634356</v>
      </c>
      <c r="F14" s="2">
        <f t="shared" si="3"/>
        <v>1637.4615061559637</v>
      </c>
      <c r="G14" s="2">
        <f t="shared" si="3"/>
        <v>1809.6748360719191</v>
      </c>
      <c r="H14" s="2">
        <f t="shared" si="3"/>
        <v>2000</v>
      </c>
      <c r="I14" s="2">
        <f t="shared" si="3"/>
        <v>2210.3418361512954</v>
      </c>
      <c r="J14" s="2">
        <f t="shared" si="3"/>
        <v>2442.80551632034</v>
      </c>
      <c r="K14" s="2">
        <f t="shared" si="3"/>
        <v>2699.7176151520066</v>
      </c>
      <c r="L14" s="2">
        <f t="shared" si="3"/>
        <v>2983.6493952825413</v>
      </c>
    </row>
    <row r="15" spans="2:12" ht="12.75">
      <c r="B15" s="2"/>
      <c r="C15" s="2"/>
      <c r="D15" s="2"/>
      <c r="E15" s="2"/>
      <c r="F15" s="2">
        <f aca="true" t="shared" si="4" ref="F15:L15">E14*$B$7</f>
        <v>1340.6400920712783</v>
      </c>
      <c r="G15" s="2">
        <f t="shared" si="4"/>
        <v>1481.6364413634356</v>
      </c>
      <c r="H15" s="2">
        <f t="shared" si="4"/>
        <v>1637.4615061559637</v>
      </c>
      <c r="I15" s="2">
        <f t="shared" si="4"/>
        <v>1809.6748360719191</v>
      </c>
      <c r="J15" s="2">
        <f t="shared" si="4"/>
        <v>2000</v>
      </c>
      <c r="K15" s="2">
        <f t="shared" si="4"/>
        <v>2210.3418361512954</v>
      </c>
      <c r="L15" s="2">
        <f t="shared" si="4"/>
        <v>2442.80551632034</v>
      </c>
    </row>
    <row r="16" spans="2:12" ht="12.75">
      <c r="B16" s="2"/>
      <c r="C16" s="2"/>
      <c r="D16" s="2"/>
      <c r="E16" s="2"/>
      <c r="F16" s="2"/>
      <c r="G16" s="2">
        <f aca="true" t="shared" si="5" ref="G16:L16">F15*$B$7</f>
        <v>1213.0613194252664</v>
      </c>
      <c r="H16" s="2">
        <f t="shared" si="5"/>
        <v>1340.6400920712783</v>
      </c>
      <c r="I16" s="2">
        <f t="shared" si="5"/>
        <v>1481.6364413634356</v>
      </c>
      <c r="J16" s="2">
        <f t="shared" si="5"/>
        <v>1637.4615061559637</v>
      </c>
      <c r="K16" s="2">
        <f t="shared" si="5"/>
        <v>1809.6748360719191</v>
      </c>
      <c r="L16" s="2">
        <f t="shared" si="5"/>
        <v>2000</v>
      </c>
    </row>
    <row r="17" spans="2:12" ht="12.75">
      <c r="B17" s="2"/>
      <c r="C17" s="2"/>
      <c r="D17" s="2"/>
      <c r="E17" s="2"/>
      <c r="F17" s="2"/>
      <c r="G17" s="2"/>
      <c r="H17" s="2">
        <f>G16*$B$7</f>
        <v>1097.6232721880524</v>
      </c>
      <c r="I17" s="2">
        <f>H16*$B$7</f>
        <v>1213.0613194252664</v>
      </c>
      <c r="J17" s="2">
        <f>I16*$B$7</f>
        <v>1340.6400920712783</v>
      </c>
      <c r="K17" s="2">
        <f>J16*$B$7</f>
        <v>1481.6364413634356</v>
      </c>
      <c r="L17" s="2">
        <f>K16*$B$7</f>
        <v>1637.4615061559637</v>
      </c>
    </row>
    <row r="18" spans="2:12" ht="12.75">
      <c r="B18" s="2"/>
      <c r="C18" s="2"/>
      <c r="D18" s="2"/>
      <c r="E18" s="2"/>
      <c r="F18" s="2"/>
      <c r="G18" s="2"/>
      <c r="H18" s="2"/>
      <c r="I18" s="2">
        <f>H17*$B$7</f>
        <v>993.1706075828185</v>
      </c>
      <c r="J18" s="2">
        <f>I17*$B$7</f>
        <v>1097.6232721880524</v>
      </c>
      <c r="K18" s="2">
        <f>J17*$B$7</f>
        <v>1213.0613194252664</v>
      </c>
      <c r="L18" s="2">
        <f>K17*$B$7</f>
        <v>1340.6400920712783</v>
      </c>
    </row>
    <row r="19" spans="2:12" ht="12.75">
      <c r="B19" s="2"/>
      <c r="C19" s="2"/>
      <c r="D19" s="2"/>
      <c r="E19" s="2"/>
      <c r="F19" s="2"/>
      <c r="G19" s="2"/>
      <c r="H19" s="2"/>
      <c r="I19" s="2"/>
      <c r="J19" s="2">
        <f>I18*$B$7</f>
        <v>898.6579282344427</v>
      </c>
      <c r="K19" s="2">
        <f>J18*$B$7</f>
        <v>993.1706075828185</v>
      </c>
      <c r="L19" s="2">
        <f>K18*$B$7</f>
        <v>1097.6232721880524</v>
      </c>
    </row>
    <row r="20" spans="2:12" ht="12.75">
      <c r="B20" s="2"/>
      <c r="C20" s="2"/>
      <c r="D20" s="2"/>
      <c r="E20" s="2"/>
      <c r="F20" s="2"/>
      <c r="G20" s="2"/>
      <c r="H20" s="2"/>
      <c r="I20" s="2"/>
      <c r="J20" s="2"/>
      <c r="K20" s="2">
        <f>J19*$B$7</f>
        <v>813.1393194811977</v>
      </c>
      <c r="L20" s="2">
        <f>K19*$B$7</f>
        <v>898.6579282344427</v>
      </c>
    </row>
    <row r="21" spans="2:12" ht="12.75">
      <c r="B21" s="2"/>
      <c r="C21" s="2"/>
      <c r="D21" s="2"/>
      <c r="E21" s="2"/>
      <c r="F21" s="2"/>
      <c r="G21" s="2"/>
      <c r="H21" s="2"/>
      <c r="I21" s="2"/>
      <c r="J21" s="2"/>
      <c r="K21" s="2"/>
      <c r="L21" s="2">
        <f>K20*$B$7</f>
        <v>735.7588823428841</v>
      </c>
    </row>
    <row r="22" s="6" customFormat="1" ht="12.75"/>
    <row r="23" s="6" customFormat="1" ht="12.75"/>
    <row r="24" spans="1:12" ht="12.75">
      <c r="A24" s="3" t="s">
        <v>1</v>
      </c>
      <c r="B24" s="2">
        <v>1</v>
      </c>
      <c r="C24" s="2">
        <f aca="true" t="shared" si="6" ref="C24:L24">B24*Prob_up</f>
        <v>0.75</v>
      </c>
      <c r="D24" s="2">
        <f t="shared" si="6"/>
        <v>0.5625</v>
      </c>
      <c r="E24" s="4">
        <f t="shared" si="6"/>
        <v>0.421875</v>
      </c>
      <c r="F24" s="4">
        <f t="shared" si="6"/>
        <v>0.31640625</v>
      </c>
      <c r="G24" s="4">
        <f t="shared" si="6"/>
        <v>0.2373046875</v>
      </c>
      <c r="H24" s="4">
        <f t="shared" si="6"/>
        <v>0.177978515625</v>
      </c>
      <c r="I24" s="4">
        <f t="shared" si="6"/>
        <v>0.13348388671875</v>
      </c>
      <c r="J24" s="4">
        <f t="shared" si="6"/>
        <v>0.1001129150390625</v>
      </c>
      <c r="K24" s="4">
        <f t="shared" si="6"/>
        <v>0.07508468627929688</v>
      </c>
      <c r="L24" s="4">
        <f t="shared" si="6"/>
        <v>0.056313514709472656</v>
      </c>
    </row>
    <row r="25" spans="2:12" ht="12.75">
      <c r="B25" s="2"/>
      <c r="C25" s="2">
        <f>B24*Prob_down</f>
        <v>0.25</v>
      </c>
      <c r="D25" s="2">
        <f aca="true" t="shared" si="7" ref="D25:L25">C24*Prob_down+C25*Prob_up</f>
        <v>0.375</v>
      </c>
      <c r="E25" s="4">
        <f t="shared" si="7"/>
        <v>0.421875</v>
      </c>
      <c r="F25" s="4">
        <f t="shared" si="7"/>
        <v>0.421875</v>
      </c>
      <c r="G25" s="4">
        <f t="shared" si="7"/>
        <v>0.3955078125</v>
      </c>
      <c r="H25" s="4">
        <f t="shared" si="7"/>
        <v>0.35595703125</v>
      </c>
      <c r="I25" s="4">
        <f t="shared" si="7"/>
        <v>0.31146240234375</v>
      </c>
      <c r="J25" s="4">
        <f t="shared" si="7"/>
        <v>0.2669677734375</v>
      </c>
      <c r="K25" s="4">
        <f t="shared" si="7"/>
        <v>0.22525405883789062</v>
      </c>
      <c r="L25" s="4">
        <f t="shared" si="7"/>
        <v>0.1877117156982422</v>
      </c>
    </row>
    <row r="26" spans="2:12" ht="12.75">
      <c r="B26" s="2"/>
      <c r="C26" s="2"/>
      <c r="D26" s="2">
        <f>C25*Prob_down</f>
        <v>0.0625</v>
      </c>
      <c r="E26" s="4">
        <f aca="true" t="shared" si="8" ref="E26:L26">D25*Prob_down+D26*Prob_up</f>
        <v>0.140625</v>
      </c>
      <c r="F26" s="4">
        <f t="shared" si="8"/>
        <v>0.2109375</v>
      </c>
      <c r="G26" s="4">
        <f t="shared" si="8"/>
        <v>0.263671875</v>
      </c>
      <c r="H26" s="4">
        <f t="shared" si="8"/>
        <v>0.296630859375</v>
      </c>
      <c r="I26" s="4">
        <f t="shared" si="8"/>
        <v>0.31146240234375</v>
      </c>
      <c r="J26" s="4">
        <f t="shared" si="8"/>
        <v>0.31146240234375</v>
      </c>
      <c r="K26" s="4">
        <f t="shared" si="8"/>
        <v>0.3003387451171875</v>
      </c>
      <c r="L26" s="4">
        <f t="shared" si="8"/>
        <v>0.2815675735473633</v>
      </c>
    </row>
    <row r="27" spans="2:12" ht="12.75">
      <c r="B27" s="2"/>
      <c r="C27" s="2"/>
      <c r="D27" s="2"/>
      <c r="E27" s="4">
        <f>(D26+D27)*Prob_down</f>
        <v>0.015625</v>
      </c>
      <c r="F27" s="4">
        <f aca="true" t="shared" si="9" ref="F27:L28">E26*Prob_down+E27*Prob_up</f>
        <v>0.046875</v>
      </c>
      <c r="G27" s="4">
        <f t="shared" si="9"/>
        <v>0.087890625</v>
      </c>
      <c r="H27" s="4">
        <f t="shared" si="9"/>
        <v>0.1318359375</v>
      </c>
      <c r="I27" s="4">
        <f t="shared" si="9"/>
        <v>0.17303466796875</v>
      </c>
      <c r="J27" s="4">
        <f t="shared" si="9"/>
        <v>0.2076416015625</v>
      </c>
      <c r="K27" s="4">
        <f t="shared" si="9"/>
        <v>0.2335968017578125</v>
      </c>
      <c r="L27" s="4">
        <f t="shared" si="9"/>
        <v>0.25028228759765625</v>
      </c>
    </row>
    <row r="28" spans="2:12" ht="12.75">
      <c r="B28" s="2"/>
      <c r="C28" s="2"/>
      <c r="D28" s="2"/>
      <c r="E28" s="2"/>
      <c r="F28" s="4">
        <f t="shared" si="9"/>
        <v>0.00390625</v>
      </c>
      <c r="G28" s="4">
        <f t="shared" si="9"/>
        <v>0.0146484375</v>
      </c>
      <c r="H28" s="4">
        <f t="shared" si="9"/>
        <v>0.032958984375</v>
      </c>
      <c r="I28" s="4">
        <f t="shared" si="9"/>
        <v>0.05767822265625</v>
      </c>
      <c r="J28" s="4">
        <f t="shared" si="9"/>
        <v>0.086517333984375</v>
      </c>
      <c r="K28" s="4">
        <f t="shared" si="9"/>
        <v>0.11679840087890625</v>
      </c>
      <c r="L28" s="4">
        <f t="shared" si="9"/>
        <v>0.1459980010986328</v>
      </c>
    </row>
    <row r="29" spans="2:12" ht="12.75">
      <c r="B29" s="2"/>
      <c r="C29" s="2"/>
      <c r="D29" s="2"/>
      <c r="E29" s="2"/>
      <c r="F29" s="4"/>
      <c r="G29" s="4">
        <f aca="true" t="shared" si="10" ref="G29:L29">F28*Prob_down+F29*Prob_up</f>
        <v>0.0009765625</v>
      </c>
      <c r="H29" s="4">
        <f t="shared" si="10"/>
        <v>0.00439453125</v>
      </c>
      <c r="I29" s="4">
        <f t="shared" si="10"/>
        <v>0.01153564453125</v>
      </c>
      <c r="J29" s="4">
        <f t="shared" si="10"/>
        <v>0.0230712890625</v>
      </c>
      <c r="K29" s="4">
        <f t="shared" si="10"/>
        <v>0.03893280029296875</v>
      </c>
      <c r="L29" s="4">
        <f t="shared" si="10"/>
        <v>0.058399200439453125</v>
      </c>
    </row>
    <row r="30" spans="6:12" ht="12.75">
      <c r="F30" s="4"/>
      <c r="G30" s="4"/>
      <c r="H30" s="4">
        <f>G29*Prob_down+G30*Prob_up</f>
        <v>0.000244140625</v>
      </c>
      <c r="I30" s="4">
        <f>H29*Prob_down+H30*Prob_up</f>
        <v>0.00128173828125</v>
      </c>
      <c r="J30" s="4">
        <f>I29*Prob_down+I30*Prob_up</f>
        <v>0.00384521484375</v>
      </c>
      <c r="K30" s="4">
        <f>J29*Prob_down+J30*Prob_up</f>
        <v>0.0086517333984375</v>
      </c>
      <c r="L30" s="4">
        <f>K29*Prob_down+K30*Prob_up</f>
        <v>0.016222000122070312</v>
      </c>
    </row>
    <row r="31" spans="6:12" ht="12.75">
      <c r="F31" s="4"/>
      <c r="G31" s="4"/>
      <c r="H31" s="4"/>
      <c r="I31" s="4">
        <f>H30*Prob_down+H31*Prob_up</f>
        <v>6.103515625E-05</v>
      </c>
      <c r="J31" s="4">
        <f>I30*Prob_down+I31*Prob_up</f>
        <v>0.0003662109375</v>
      </c>
      <c r="K31" s="4">
        <f>J30*Prob_down+J31*Prob_up</f>
        <v>0.0012359619140625</v>
      </c>
      <c r="L31" s="4">
        <f>K30*Prob_down+K31*Prob_up</f>
        <v>0.00308990478515625</v>
      </c>
    </row>
    <row r="32" spans="6:12" ht="12.75">
      <c r="F32" s="4"/>
      <c r="G32" s="4"/>
      <c r="H32" s="4"/>
      <c r="I32" s="4"/>
      <c r="J32" s="4">
        <f>I31*Prob_down+I32*Prob_up</f>
        <v>1.52587890625E-05</v>
      </c>
      <c r="K32" s="4">
        <f>J31*Prob_down+J32*Prob_up</f>
        <v>0.000102996826171875</v>
      </c>
      <c r="L32" s="4">
        <f>K31*Prob_down+K32*Prob_up</f>
        <v>0.00038623809814453125</v>
      </c>
    </row>
    <row r="33" spans="6:12" ht="12.75">
      <c r="F33" s="4"/>
      <c r="G33" s="4"/>
      <c r="H33" s="4"/>
      <c r="I33" s="4"/>
      <c r="J33" s="4"/>
      <c r="K33" s="4">
        <f>J32*Prob_down+J33*Prob_up</f>
        <v>3.814697265625E-06</v>
      </c>
      <c r="L33" s="4">
        <f>K32*Prob_down+K33*Prob_up</f>
        <v>2.86102294921875E-05</v>
      </c>
    </row>
    <row r="34" spans="6:12" ht="12.75">
      <c r="F34" s="4"/>
      <c r="G34" s="4"/>
      <c r="H34" s="4"/>
      <c r="I34" s="4"/>
      <c r="J34" s="4"/>
      <c r="K34" s="4"/>
      <c r="L34" s="4">
        <f>K33*Prob_down+K34*Prob_up</f>
        <v>9.5367431640625E-07</v>
      </c>
    </row>
    <row r="36" spans="1:12" ht="12.75">
      <c r="A36" t="s">
        <v>2</v>
      </c>
      <c r="B36" s="2">
        <f aca="true" t="shared" si="11" ref="B36:L36">SUM(B24:B35)</f>
        <v>1</v>
      </c>
      <c r="C36" s="2">
        <f t="shared" si="11"/>
        <v>1</v>
      </c>
      <c r="D36" s="2">
        <f t="shared" si="11"/>
        <v>1</v>
      </c>
      <c r="E36" s="2">
        <f t="shared" si="11"/>
        <v>1</v>
      </c>
      <c r="F36" s="2">
        <f t="shared" si="11"/>
        <v>1</v>
      </c>
      <c r="G36" s="2">
        <f t="shared" si="11"/>
        <v>1</v>
      </c>
      <c r="H36" s="2">
        <f t="shared" si="11"/>
        <v>1</v>
      </c>
      <c r="I36" s="2">
        <f t="shared" si="11"/>
        <v>1</v>
      </c>
      <c r="J36" s="22">
        <f t="shared" si="11"/>
        <v>1</v>
      </c>
      <c r="K36" s="22">
        <f t="shared" si="11"/>
        <v>1</v>
      </c>
      <c r="L36" s="22">
        <f t="shared" si="11"/>
        <v>1</v>
      </c>
    </row>
    <row r="38" spans="2:12" ht="12.75">
      <c r="B38" s="5"/>
      <c r="C38" s="5"/>
      <c r="D38" s="5"/>
      <c r="E38" s="5"/>
      <c r="F38" s="5"/>
      <c r="G38" s="5"/>
      <c r="H38" s="5"/>
      <c r="I38" s="5"/>
      <c r="J38" s="5"/>
      <c r="K38" s="5"/>
      <c r="L38" s="5"/>
    </row>
    <row r="39" spans="1:12" ht="12.75">
      <c r="A39" s="3" t="s">
        <v>54</v>
      </c>
      <c r="B39" s="10">
        <v>0</v>
      </c>
      <c r="C39" s="10">
        <f>$L$5+$H$5*(C11-$L$6)</f>
        <v>-948290.819243523</v>
      </c>
      <c r="D39" s="10">
        <f aca="true" t="shared" si="12" ref="D39:L39">$L$5+$H$5*(D11-$L$6)</f>
        <v>214027.58160169935</v>
      </c>
      <c r="E39" s="10">
        <f t="shared" si="12"/>
        <v>1498588.075760033</v>
      </c>
      <c r="F39" s="38">
        <f t="shared" si="12"/>
        <v>2918246.9764127065</v>
      </c>
      <c r="G39" s="38">
        <f t="shared" si="12"/>
        <v>4487212.707001286</v>
      </c>
      <c r="H39" s="38">
        <f t="shared" si="12"/>
        <v>6221188.003905095</v>
      </c>
      <c r="I39" s="17">
        <f t="shared" si="12"/>
        <v>8137527.074704772</v>
      </c>
      <c r="J39" s="17">
        <f t="shared" si="12"/>
        <v>10255409.284924686</v>
      </c>
      <c r="K39" s="17">
        <f t="shared" si="12"/>
        <v>12596031.111569509</v>
      </c>
      <c r="L39" s="17">
        <f t="shared" si="12"/>
        <v>15182818.284590466</v>
      </c>
    </row>
    <row r="40" spans="2:12" ht="12.75">
      <c r="B40" s="10"/>
      <c r="C40" s="10">
        <f aca="true" t="shared" si="13" ref="C40:L40">$L$5+$H$5*(C12-$L$6)</f>
        <v>-2951625.8196404045</v>
      </c>
      <c r="D40" s="10">
        <f t="shared" si="13"/>
        <v>-2000000</v>
      </c>
      <c r="E40" s="10">
        <f t="shared" si="13"/>
        <v>-948290.819243523</v>
      </c>
      <c r="F40" s="10">
        <f t="shared" si="13"/>
        <v>214027.58160169935</v>
      </c>
      <c r="G40" s="38">
        <f t="shared" si="13"/>
        <v>1498588.075760033</v>
      </c>
      <c r="H40" s="38">
        <f t="shared" si="13"/>
        <v>2918246.9764127065</v>
      </c>
      <c r="I40" s="17">
        <f t="shared" si="13"/>
        <v>4487212.707001286</v>
      </c>
      <c r="J40" s="17">
        <f t="shared" si="13"/>
        <v>6221188.003905095</v>
      </c>
      <c r="K40" s="17">
        <f t="shared" si="13"/>
        <v>8137527.074704772</v>
      </c>
      <c r="L40" s="17">
        <f t="shared" si="13"/>
        <v>10255409.284924686</v>
      </c>
    </row>
    <row r="41" spans="2:12" ht="12.75">
      <c r="B41" s="10"/>
      <c r="C41" s="10"/>
      <c r="D41" s="10">
        <f aca="true" t="shared" si="14" ref="D41:L41">$L$5+$H$5*(D13-$L$6)</f>
        <v>-3812692.4692201815</v>
      </c>
      <c r="E41" s="10">
        <f t="shared" si="14"/>
        <v>-2951625.8196404045</v>
      </c>
      <c r="F41" s="10">
        <f t="shared" si="14"/>
        <v>-2000000</v>
      </c>
      <c r="G41" s="38">
        <f t="shared" si="14"/>
        <v>-948290.819243523</v>
      </c>
      <c r="H41" s="38">
        <f t="shared" si="14"/>
        <v>214027.58160169935</v>
      </c>
      <c r="I41" s="17">
        <f t="shared" si="14"/>
        <v>1498588.075760033</v>
      </c>
      <c r="J41" s="17">
        <f t="shared" si="14"/>
        <v>2918246.9764127065</v>
      </c>
      <c r="K41" s="17">
        <f t="shared" si="14"/>
        <v>4487212.707001286</v>
      </c>
      <c r="L41" s="17">
        <f t="shared" si="14"/>
        <v>6221188.003905095</v>
      </c>
    </row>
    <row r="42" spans="2:12" ht="12.75">
      <c r="B42" s="10"/>
      <c r="C42" s="10"/>
      <c r="D42" s="10"/>
      <c r="E42" s="10">
        <f aca="true" t="shared" si="15" ref="E42:L42">$L$5+$H$5*(E14-$L$6)</f>
        <v>-4591817.793182822</v>
      </c>
      <c r="F42" s="10">
        <f t="shared" si="15"/>
        <v>-3812692.4692201815</v>
      </c>
      <c r="G42" s="10">
        <f t="shared" si="15"/>
        <v>-2951625.8196404045</v>
      </c>
      <c r="H42" s="10">
        <f t="shared" si="15"/>
        <v>-2000000</v>
      </c>
      <c r="I42" s="17">
        <f t="shared" si="15"/>
        <v>-948290.819243523</v>
      </c>
      <c r="J42" s="17">
        <f t="shared" si="15"/>
        <v>214027.58160169935</v>
      </c>
      <c r="K42" s="17">
        <f t="shared" si="15"/>
        <v>1498588.075760033</v>
      </c>
      <c r="L42" s="17">
        <f t="shared" si="15"/>
        <v>2918246.9764127065</v>
      </c>
    </row>
    <row r="43" spans="2:12" ht="12.75">
      <c r="B43" s="10"/>
      <c r="C43" s="10"/>
      <c r="D43" s="10"/>
      <c r="E43" s="10"/>
      <c r="F43" s="10">
        <f aca="true" t="shared" si="16" ref="F43:L43">$L$5+$H$5*(F15-$L$6)</f>
        <v>-5296799.539643608</v>
      </c>
      <c r="G43" s="10">
        <f t="shared" si="16"/>
        <v>-4591817.793182822</v>
      </c>
      <c r="H43" s="10">
        <f t="shared" si="16"/>
        <v>-3812692.4692201815</v>
      </c>
      <c r="I43" s="17">
        <f t="shared" si="16"/>
        <v>-2951625.8196404045</v>
      </c>
      <c r="J43" s="17">
        <f t="shared" si="16"/>
        <v>-2000000</v>
      </c>
      <c r="K43" s="17">
        <f t="shared" si="16"/>
        <v>-948290.819243523</v>
      </c>
      <c r="L43" s="17">
        <f t="shared" si="16"/>
        <v>214027.58160169935</v>
      </c>
    </row>
    <row r="44" spans="2:12" ht="12.75">
      <c r="B44" s="10"/>
      <c r="C44" s="10"/>
      <c r="D44" s="10"/>
      <c r="E44" s="10"/>
      <c r="F44" s="10"/>
      <c r="G44" s="38">
        <f aca="true" t="shared" si="17" ref="G44:L44">$L$5+$H$5*(G16-$L$6)</f>
        <v>-5934693.402873668</v>
      </c>
      <c r="H44" s="10">
        <f t="shared" si="17"/>
        <v>-5296799.539643608</v>
      </c>
      <c r="I44" s="17">
        <f t="shared" si="17"/>
        <v>-4591817.793182822</v>
      </c>
      <c r="J44" s="17">
        <f t="shared" si="17"/>
        <v>-3812692.4692201815</v>
      </c>
      <c r="K44" s="17">
        <f t="shared" si="17"/>
        <v>-2951625.8196404045</v>
      </c>
      <c r="L44" s="17">
        <f t="shared" si="17"/>
        <v>-2000000</v>
      </c>
    </row>
    <row r="45" spans="2:12" ht="12.75">
      <c r="B45" s="10"/>
      <c r="C45" s="10"/>
      <c r="D45" s="10"/>
      <c r="E45" s="10"/>
      <c r="F45" s="10"/>
      <c r="G45" s="10"/>
      <c r="H45" s="10">
        <f>$L$5+$H$5*(H17-$L$6)</f>
        <v>-6511883.639059738</v>
      </c>
      <c r="I45" s="66">
        <f>$L$5+$H$5*(I17-$L$6)</f>
        <v>-5934693.402873668</v>
      </c>
      <c r="J45" s="17">
        <f>$L$5+$H$5*(J17-$L$6)</f>
        <v>-5296799.539643608</v>
      </c>
      <c r="K45" s="17">
        <f>$L$5+$H$5*(K17-$L$6)</f>
        <v>-4591817.793182822</v>
      </c>
      <c r="L45" s="17">
        <f>$L$5+$H$5*(L17-$L$6)</f>
        <v>-3812692.4692201815</v>
      </c>
    </row>
    <row r="46" spans="2:12" ht="12.75">
      <c r="B46" s="10"/>
      <c r="C46" s="10"/>
      <c r="D46" s="10"/>
      <c r="E46" s="10"/>
      <c r="F46" s="10"/>
      <c r="G46" s="10"/>
      <c r="H46" s="10"/>
      <c r="I46" s="17">
        <f>$L$5+$H$5*(I18-$L$6)</f>
        <v>-7034146.962085907</v>
      </c>
      <c r="J46" s="17">
        <f>$L$5+$H$5*(J18-$L$6)</f>
        <v>-6511883.639059738</v>
      </c>
      <c r="K46" s="17">
        <f>$L$5+$H$5*(K18-$L$6)</f>
        <v>-5934693.402873668</v>
      </c>
      <c r="L46" s="17">
        <f>$L$5+$H$5*(L18-$L$6)</f>
        <v>-5296799.539643608</v>
      </c>
    </row>
    <row r="47" spans="2:12" ht="12.75">
      <c r="B47" s="10"/>
      <c r="C47" s="10"/>
      <c r="D47" s="10"/>
      <c r="E47" s="10"/>
      <c r="F47" s="10"/>
      <c r="G47" s="10"/>
      <c r="H47" s="10"/>
      <c r="I47" s="17"/>
      <c r="J47" s="17">
        <f>$L$5+$H$5*(J19-$L$6)</f>
        <v>-7506710.358827786</v>
      </c>
      <c r="K47" s="17">
        <f>$L$5+$H$5*(K19-$L$6)</f>
        <v>-7034146.962085907</v>
      </c>
      <c r="L47" s="17">
        <f>$L$5+$H$5*(L19-$L$6)</f>
        <v>-6511883.639059738</v>
      </c>
    </row>
    <row r="48" spans="2:12" ht="12.75">
      <c r="B48" s="10"/>
      <c r="C48" s="10"/>
      <c r="D48" s="10"/>
      <c r="E48" s="10"/>
      <c r="F48" s="10"/>
      <c r="G48" s="10"/>
      <c r="H48" s="10"/>
      <c r="I48" s="17"/>
      <c r="J48" s="17"/>
      <c r="K48" s="17">
        <f>$L$5+$H$5*(K20-$L$6)</f>
        <v>-7934303.402594012</v>
      </c>
      <c r="L48" s="17">
        <f>$L$5+$H$5*(L20-$L$6)</f>
        <v>-7506710.358827786</v>
      </c>
    </row>
    <row r="49" spans="9:12" ht="12.75">
      <c r="I49" s="18"/>
      <c r="J49" s="18"/>
      <c r="K49" s="18"/>
      <c r="L49" s="17">
        <f>$L$5+$H$5*(L21-$L$6)</f>
        <v>-8321205.588285579</v>
      </c>
    </row>
    <row r="50" spans="1:12" ht="12.75">
      <c r="A50" s="1"/>
      <c r="I50" s="18"/>
      <c r="J50" s="18"/>
      <c r="K50" s="18"/>
      <c r="L50" s="17"/>
    </row>
    <row r="51" spans="9:256" ht="12.75">
      <c r="I51" s="18"/>
      <c r="J51" s="58" t="s">
        <v>15</v>
      </c>
      <c r="K51" s="58" t="s">
        <v>16</v>
      </c>
      <c r="L51" s="58" t="s">
        <v>17</v>
      </c>
      <c r="M51" s="70" t="s">
        <v>18</v>
      </c>
      <c r="N51" s="70"/>
      <c r="O51" s="70"/>
      <c r="P51" s="70"/>
      <c r="Q51" s="70"/>
      <c r="R51" s="70"/>
      <c r="S51" s="70"/>
      <c r="T51" s="70"/>
      <c r="U51" s="70"/>
      <c r="V51" s="70"/>
      <c r="W51" s="70"/>
      <c r="X51" s="70"/>
      <c r="Y51" s="70"/>
      <c r="Z51" s="70"/>
      <c r="AA51" s="70"/>
      <c r="AB51" s="70"/>
      <c r="AC51" s="70"/>
      <c r="AD51" s="70"/>
      <c r="AE51" s="70"/>
      <c r="AF51" s="70"/>
      <c r="AO51" s="18"/>
      <c r="AP51" s="58"/>
      <c r="AQ51" s="58"/>
      <c r="AR51" s="58"/>
      <c r="AS51" s="70"/>
      <c r="AT51" s="70"/>
      <c r="AU51" s="70"/>
      <c r="AV51" s="70"/>
      <c r="AW51" s="70"/>
      <c r="AX51" s="70"/>
      <c r="AY51" s="70"/>
      <c r="AZ51" s="70"/>
      <c r="BA51" s="70"/>
      <c r="BB51" s="70"/>
      <c r="BC51" s="70"/>
      <c r="BD51" s="70"/>
      <c r="BE51" s="70"/>
      <c r="BF51" s="70"/>
      <c r="BG51" s="70"/>
      <c r="BH51" s="70"/>
      <c r="BI51" s="70"/>
      <c r="BJ51" s="70"/>
      <c r="BK51" s="70"/>
      <c r="BL51" s="70"/>
      <c r="BU51" s="18"/>
      <c r="BV51" s="58"/>
      <c r="BW51" s="58"/>
      <c r="BX51" s="58"/>
      <c r="BY51" s="70"/>
      <c r="BZ51" s="70"/>
      <c r="CA51" s="70"/>
      <c r="CB51" s="70"/>
      <c r="CC51" s="70"/>
      <c r="CD51" s="70"/>
      <c r="CE51" s="70"/>
      <c r="CF51" s="70"/>
      <c r="CG51" s="70"/>
      <c r="CH51" s="70"/>
      <c r="CI51" s="70"/>
      <c r="CJ51" s="70"/>
      <c r="CK51" s="70"/>
      <c r="CL51" s="70"/>
      <c r="CM51" s="70"/>
      <c r="CN51" s="70"/>
      <c r="CO51" s="70"/>
      <c r="CP51" s="70"/>
      <c r="CQ51" s="70"/>
      <c r="CR51" s="70"/>
      <c r="DA51" s="18"/>
      <c r="DB51" s="58"/>
      <c r="DC51" s="58"/>
      <c r="DD51" s="58"/>
      <c r="DE51" s="70"/>
      <c r="DF51" s="70"/>
      <c r="DG51" s="70"/>
      <c r="DH51" s="70"/>
      <c r="DI51" s="70"/>
      <c r="DJ51" s="70"/>
      <c r="DK51" s="70"/>
      <c r="DL51" s="70"/>
      <c r="DM51" s="70"/>
      <c r="DN51" s="70"/>
      <c r="DO51" s="70"/>
      <c r="DP51" s="70"/>
      <c r="DQ51" s="70"/>
      <c r="DR51" s="70"/>
      <c r="DS51" s="70"/>
      <c r="DT51" s="70"/>
      <c r="DU51" s="70"/>
      <c r="DV51" s="70"/>
      <c r="DW51" s="70"/>
      <c r="DX51" s="70"/>
      <c r="EG51" s="18"/>
      <c r="EH51" s="58"/>
      <c r="EI51" s="58"/>
      <c r="EJ51" s="58"/>
      <c r="EK51" s="70"/>
      <c r="EL51" s="70"/>
      <c r="EM51" s="70"/>
      <c r="EN51" s="70"/>
      <c r="EO51" s="70"/>
      <c r="EP51" s="70"/>
      <c r="EQ51" s="70"/>
      <c r="ER51" s="70"/>
      <c r="ES51" s="70"/>
      <c r="ET51" s="70"/>
      <c r="EU51" s="70"/>
      <c r="EV51" s="70"/>
      <c r="EW51" s="70"/>
      <c r="EX51" s="70"/>
      <c r="EY51" s="70"/>
      <c r="EZ51" s="70"/>
      <c r="FA51" s="70"/>
      <c r="FB51" s="70"/>
      <c r="FC51" s="70"/>
      <c r="FD51" s="70"/>
      <c r="FM51" s="18"/>
      <c r="FN51" s="58"/>
      <c r="FO51" s="58"/>
      <c r="FP51" s="58"/>
      <c r="FQ51" s="70"/>
      <c r="FR51" s="70"/>
      <c r="FS51" s="70"/>
      <c r="FT51" s="70"/>
      <c r="FU51" s="70"/>
      <c r="FV51" s="70"/>
      <c r="FW51" s="70"/>
      <c r="FX51" s="70"/>
      <c r="FY51" s="70"/>
      <c r="FZ51" s="70"/>
      <c r="GA51" s="70"/>
      <c r="GB51" s="70"/>
      <c r="GC51" s="70"/>
      <c r="GD51" s="70"/>
      <c r="GE51" s="70"/>
      <c r="GF51" s="70"/>
      <c r="GG51" s="70"/>
      <c r="GH51" s="70"/>
      <c r="GI51" s="70"/>
      <c r="GJ51" s="70"/>
      <c r="GS51" s="18"/>
      <c r="GT51" s="58"/>
      <c r="GU51" s="58"/>
      <c r="GV51" s="58"/>
      <c r="GW51" s="70"/>
      <c r="GX51" s="70"/>
      <c r="GY51" s="70"/>
      <c r="GZ51" s="70"/>
      <c r="HA51" s="70"/>
      <c r="HB51" s="70"/>
      <c r="HC51" s="70"/>
      <c r="HD51" s="70"/>
      <c r="HE51" s="70"/>
      <c r="HF51" s="70"/>
      <c r="HG51" s="70"/>
      <c r="HH51" s="70"/>
      <c r="HI51" s="70"/>
      <c r="HJ51" s="70"/>
      <c r="HK51" s="70"/>
      <c r="HL51" s="70"/>
      <c r="HM51" s="70"/>
      <c r="HN51" s="70"/>
      <c r="HO51" s="70"/>
      <c r="HP51" s="70"/>
      <c r="HY51" s="18"/>
      <c r="HZ51" s="58"/>
      <c r="IA51" s="58"/>
      <c r="IB51" s="58"/>
      <c r="IC51" s="70"/>
      <c r="ID51" s="70"/>
      <c r="IE51" s="70"/>
      <c r="IF51" s="70"/>
      <c r="IG51" s="70"/>
      <c r="IH51" s="70"/>
      <c r="II51" s="70"/>
      <c r="IJ51" s="70"/>
      <c r="IK51" s="70"/>
      <c r="IL51" s="70"/>
      <c r="IM51" s="70"/>
      <c r="IN51" s="70"/>
      <c r="IO51" s="70"/>
      <c r="IP51" s="70"/>
      <c r="IQ51" s="70"/>
      <c r="IR51" s="70"/>
      <c r="IS51" s="70"/>
      <c r="IT51" s="70"/>
      <c r="IU51" s="70"/>
      <c r="IV51" s="70"/>
    </row>
    <row r="52" spans="1:256" ht="12.75">
      <c r="A52" s="3" t="s">
        <v>14</v>
      </c>
      <c r="B52" s="10">
        <f aca="true" t="shared" si="18" ref="B52:G55">B39/(1+$H$6)^B$9</f>
        <v>0</v>
      </c>
      <c r="C52" s="10">
        <f t="shared" si="18"/>
        <v>-846688.2314674311</v>
      </c>
      <c r="D52" s="10">
        <f t="shared" si="18"/>
        <v>170621.47767992612</v>
      </c>
      <c r="E52" s="10">
        <f t="shared" si="18"/>
        <v>1066665.391934699</v>
      </c>
      <c r="F52" s="10">
        <f t="shared" si="18"/>
        <v>1854598.710760512</v>
      </c>
      <c r="G52" s="10">
        <f t="shared" si="18"/>
        <v>2546164.997274284</v>
      </c>
      <c r="H52" s="10">
        <f>H39/(1+$H$6)^H$9</f>
        <v>3151847.453473336</v>
      </c>
      <c r="I52" s="18"/>
      <c r="J52" s="10">
        <f aca="true" t="shared" si="19" ref="J52:J58">L52*SUM(M52:AF52)</f>
        <v>1413720.6894406085</v>
      </c>
      <c r="K52" s="53">
        <f aca="true" t="shared" si="20" ref="K52:K58">L52*COUNT(M52:AF52)</f>
        <v>0.177978515625</v>
      </c>
      <c r="L52" s="53">
        <f>Prob_up^6*Prob_down^0</f>
        <v>0.177978515625</v>
      </c>
      <c r="M52" s="10">
        <f>B52+C52+D52+E52+F52+G52+H52</f>
        <v>7943209.799655326</v>
      </c>
      <c r="N52" s="10"/>
      <c r="O52" s="10"/>
      <c r="P52" s="10"/>
      <c r="Q52" s="10"/>
      <c r="R52" s="10"/>
      <c r="S52" s="10"/>
      <c r="T52" s="10"/>
      <c r="U52" s="10"/>
      <c r="V52" s="10"/>
      <c r="W52" s="10"/>
      <c r="X52" s="10"/>
      <c r="Y52" s="10"/>
      <c r="Z52" s="10"/>
      <c r="AA52" s="10"/>
      <c r="AB52" s="10"/>
      <c r="AC52" s="10"/>
      <c r="AD52" s="10"/>
      <c r="AE52" s="10"/>
      <c r="AF52" s="10"/>
      <c r="AG52" s="3"/>
      <c r="AH52" s="10"/>
      <c r="AI52" s="10"/>
      <c r="AJ52" s="10"/>
      <c r="AK52" s="10"/>
      <c r="AL52" s="10"/>
      <c r="AM52" s="10"/>
      <c r="AN52" s="10"/>
      <c r="AO52" s="18"/>
      <c r="AP52" s="10"/>
      <c r="AQ52" s="53"/>
      <c r="AR52" s="53"/>
      <c r="AS52" s="10"/>
      <c r="AT52" s="10"/>
      <c r="AU52" s="10"/>
      <c r="AV52" s="10"/>
      <c r="AW52" s="10"/>
      <c r="AX52" s="10"/>
      <c r="AY52" s="10"/>
      <c r="AZ52" s="10"/>
      <c r="BA52" s="10"/>
      <c r="BB52" s="10"/>
      <c r="BC52" s="10"/>
      <c r="BD52" s="10"/>
      <c r="BE52" s="10"/>
      <c r="BF52" s="10"/>
      <c r="BG52" s="10"/>
      <c r="BH52" s="10"/>
      <c r="BI52" s="10"/>
      <c r="BJ52" s="10"/>
      <c r="BK52" s="10"/>
      <c r="BL52" s="10"/>
      <c r="BM52" s="3"/>
      <c r="BN52" s="10"/>
      <c r="BO52" s="10"/>
      <c r="BP52" s="10"/>
      <c r="BQ52" s="10"/>
      <c r="BR52" s="10"/>
      <c r="BS52" s="10"/>
      <c r="BT52" s="10"/>
      <c r="BU52" s="18"/>
      <c r="BV52" s="10"/>
      <c r="BW52" s="53"/>
      <c r="BX52" s="53"/>
      <c r="BY52" s="10"/>
      <c r="BZ52" s="10"/>
      <c r="CA52" s="10"/>
      <c r="CB52" s="10"/>
      <c r="CC52" s="10"/>
      <c r="CD52" s="10"/>
      <c r="CE52" s="10"/>
      <c r="CF52" s="10"/>
      <c r="CG52" s="10"/>
      <c r="CH52" s="10"/>
      <c r="CI52" s="10"/>
      <c r="CJ52" s="10"/>
      <c r="CK52" s="10"/>
      <c r="CL52" s="10"/>
      <c r="CM52" s="10"/>
      <c r="CN52" s="10"/>
      <c r="CO52" s="10"/>
      <c r="CP52" s="10"/>
      <c r="CQ52" s="10"/>
      <c r="CR52" s="10"/>
      <c r="CS52" s="3"/>
      <c r="CT52" s="10"/>
      <c r="CU52" s="10"/>
      <c r="CV52" s="10"/>
      <c r="CW52" s="10"/>
      <c r="CX52" s="10"/>
      <c r="CY52" s="10"/>
      <c r="CZ52" s="10"/>
      <c r="DA52" s="18"/>
      <c r="DB52" s="10"/>
      <c r="DC52" s="53"/>
      <c r="DD52" s="53"/>
      <c r="DE52" s="10"/>
      <c r="DF52" s="10"/>
      <c r="DG52" s="10"/>
      <c r="DH52" s="10"/>
      <c r="DI52" s="10"/>
      <c r="DJ52" s="10"/>
      <c r="DK52" s="10"/>
      <c r="DL52" s="10"/>
      <c r="DM52" s="10"/>
      <c r="DN52" s="10"/>
      <c r="DO52" s="10"/>
      <c r="DP52" s="10"/>
      <c r="DQ52" s="10"/>
      <c r="DR52" s="10"/>
      <c r="DS52" s="10"/>
      <c r="DT52" s="10"/>
      <c r="DU52" s="10"/>
      <c r="DV52" s="10"/>
      <c r="DW52" s="10"/>
      <c r="DX52" s="10"/>
      <c r="DY52" s="3"/>
      <c r="DZ52" s="10"/>
      <c r="EA52" s="10"/>
      <c r="EB52" s="10"/>
      <c r="EC52" s="10"/>
      <c r="ED52" s="10"/>
      <c r="EE52" s="10"/>
      <c r="EF52" s="10"/>
      <c r="EG52" s="18"/>
      <c r="EH52" s="10"/>
      <c r="EI52" s="53"/>
      <c r="EJ52" s="53"/>
      <c r="EK52" s="10"/>
      <c r="EL52" s="10"/>
      <c r="EM52" s="10"/>
      <c r="EN52" s="10"/>
      <c r="EO52" s="10"/>
      <c r="EP52" s="10"/>
      <c r="EQ52" s="10"/>
      <c r="ER52" s="10"/>
      <c r="ES52" s="10"/>
      <c r="ET52" s="10"/>
      <c r="EU52" s="10"/>
      <c r="EV52" s="10"/>
      <c r="EW52" s="10"/>
      <c r="EX52" s="10"/>
      <c r="EY52" s="10"/>
      <c r="EZ52" s="10"/>
      <c r="FA52" s="10"/>
      <c r="FB52" s="10"/>
      <c r="FC52" s="10"/>
      <c r="FD52" s="10"/>
      <c r="FE52" s="3"/>
      <c r="FF52" s="10"/>
      <c r="FG52" s="10"/>
      <c r="FH52" s="10"/>
      <c r="FI52" s="10"/>
      <c r="FJ52" s="10"/>
      <c r="FK52" s="10"/>
      <c r="FL52" s="10"/>
      <c r="FM52" s="18"/>
      <c r="FN52" s="10"/>
      <c r="FO52" s="53"/>
      <c r="FP52" s="53"/>
      <c r="FQ52" s="10"/>
      <c r="FR52" s="10"/>
      <c r="FS52" s="10"/>
      <c r="FT52" s="10"/>
      <c r="FU52" s="10"/>
      <c r="FV52" s="10"/>
      <c r="FW52" s="10"/>
      <c r="FX52" s="10"/>
      <c r="FY52" s="10"/>
      <c r="FZ52" s="10"/>
      <c r="GA52" s="10"/>
      <c r="GB52" s="10"/>
      <c r="GC52" s="10"/>
      <c r="GD52" s="10"/>
      <c r="GE52" s="10"/>
      <c r="GF52" s="10"/>
      <c r="GG52" s="10"/>
      <c r="GH52" s="10"/>
      <c r="GI52" s="10"/>
      <c r="GJ52" s="10"/>
      <c r="GK52" s="3"/>
      <c r="GL52" s="10"/>
      <c r="GM52" s="10"/>
      <c r="GN52" s="10"/>
      <c r="GO52" s="10"/>
      <c r="GP52" s="10"/>
      <c r="GQ52" s="10"/>
      <c r="GR52" s="10"/>
      <c r="GS52" s="18"/>
      <c r="GT52" s="10"/>
      <c r="GU52" s="53"/>
      <c r="GV52" s="53"/>
      <c r="GW52" s="10"/>
      <c r="GX52" s="10"/>
      <c r="GY52" s="10"/>
      <c r="GZ52" s="10"/>
      <c r="HA52" s="10"/>
      <c r="HB52" s="10"/>
      <c r="HC52" s="10"/>
      <c r="HD52" s="10"/>
      <c r="HE52" s="10"/>
      <c r="HF52" s="10"/>
      <c r="HG52" s="10"/>
      <c r="HH52" s="10"/>
      <c r="HI52" s="10"/>
      <c r="HJ52" s="10"/>
      <c r="HK52" s="10"/>
      <c r="HL52" s="10"/>
      <c r="HM52" s="10"/>
      <c r="HN52" s="10"/>
      <c r="HO52" s="10"/>
      <c r="HP52" s="10"/>
      <c r="HQ52" s="3"/>
      <c r="HR52" s="10"/>
      <c r="HS52" s="10"/>
      <c r="HT52" s="10"/>
      <c r="HU52" s="10"/>
      <c r="HV52" s="10"/>
      <c r="HW52" s="10"/>
      <c r="HX52" s="10"/>
      <c r="HY52" s="18"/>
      <c r="HZ52" s="10"/>
      <c r="IA52" s="53"/>
      <c r="IB52" s="53"/>
      <c r="IC52" s="10"/>
      <c r="ID52" s="10"/>
      <c r="IE52" s="10"/>
      <c r="IF52" s="10"/>
      <c r="IG52" s="10"/>
      <c r="IH52" s="10"/>
      <c r="II52" s="10"/>
      <c r="IJ52" s="10"/>
      <c r="IK52" s="10"/>
      <c r="IL52" s="10"/>
      <c r="IM52" s="10"/>
      <c r="IN52" s="10"/>
      <c r="IO52" s="10"/>
      <c r="IP52" s="10"/>
      <c r="IQ52" s="10"/>
      <c r="IR52" s="10"/>
      <c r="IS52" s="10"/>
      <c r="IT52" s="10"/>
      <c r="IU52" s="10"/>
      <c r="IV52" s="10"/>
    </row>
    <row r="53" spans="3:256" ht="12.75">
      <c r="C53" s="10">
        <f t="shared" si="18"/>
        <v>-2635380.196107504</v>
      </c>
      <c r="D53" s="10">
        <f t="shared" si="18"/>
        <v>-1594387.7551020405</v>
      </c>
      <c r="E53" s="10">
        <f t="shared" si="18"/>
        <v>-674974.6743203371</v>
      </c>
      <c r="F53" s="10">
        <f t="shared" si="18"/>
        <v>136018.39738514516</v>
      </c>
      <c r="G53" s="10">
        <f t="shared" si="18"/>
        <v>850339.1198459015</v>
      </c>
      <c r="H53" s="10">
        <f aca="true" t="shared" si="21" ref="F53:H58">H40/(1+$H$6)^H$9</f>
        <v>1478474.7375322955</v>
      </c>
      <c r="I53" s="18"/>
      <c r="J53" s="10">
        <f t="shared" si="19"/>
        <v>695417.9002782208</v>
      </c>
      <c r="K53" s="53">
        <f t="shared" si="20"/>
        <v>0.35595703125</v>
      </c>
      <c r="L53" s="53">
        <f>Prob_up^5*Prob_down^1</f>
        <v>0.059326171875</v>
      </c>
      <c r="M53" s="10">
        <f>B52+C52+D52+E52+F52+G52+H53</f>
        <v>6269837.083714285</v>
      </c>
      <c r="N53" s="10">
        <f>B52+C52+D52+E52+F52+G53+H53</f>
        <v>4574011.206285903</v>
      </c>
      <c r="O53" s="10">
        <f>B52+C52+D52+E52+F53+G53+H53</f>
        <v>2855430.8929105364</v>
      </c>
      <c r="P53" s="10">
        <f>B52+C52+D52+E53+F53+G53+H53</f>
        <v>1113790.8266555</v>
      </c>
      <c r="Q53" s="10">
        <f>B52+C52+D53+E53+F53+G53+H53</f>
        <v>-651218.4061264668</v>
      </c>
      <c r="R53" s="10">
        <f>B52+C53+D53+E53+F53+G53+H53</f>
        <v>-2439910.370766539</v>
      </c>
      <c r="S53" s="10"/>
      <c r="T53" s="10"/>
      <c r="U53" s="10"/>
      <c r="V53" s="10"/>
      <c r="W53" s="10"/>
      <c r="X53" s="10"/>
      <c r="Y53" s="10"/>
      <c r="Z53" s="10"/>
      <c r="AA53" s="10"/>
      <c r="AB53" s="10"/>
      <c r="AC53" s="10"/>
      <c r="AD53" s="10"/>
      <c r="AE53" s="10"/>
      <c r="AF53" s="10"/>
      <c r="AI53" s="10"/>
      <c r="AJ53" s="10"/>
      <c r="AK53" s="10"/>
      <c r="AL53" s="10"/>
      <c r="AM53" s="10"/>
      <c r="AN53" s="10"/>
      <c r="AO53" s="18"/>
      <c r="AP53" s="10"/>
      <c r="AQ53" s="53"/>
      <c r="AR53" s="53"/>
      <c r="AS53" s="10"/>
      <c r="AT53" s="10"/>
      <c r="AU53" s="10"/>
      <c r="AV53" s="10"/>
      <c r="AW53" s="10"/>
      <c r="AX53" s="10"/>
      <c r="AY53" s="10"/>
      <c r="AZ53" s="10"/>
      <c r="BA53" s="10"/>
      <c r="BB53" s="10"/>
      <c r="BC53" s="10"/>
      <c r="BD53" s="10"/>
      <c r="BE53" s="10"/>
      <c r="BF53" s="10"/>
      <c r="BG53" s="10"/>
      <c r="BH53" s="10"/>
      <c r="BI53" s="10"/>
      <c r="BJ53" s="10"/>
      <c r="BK53" s="10"/>
      <c r="BL53" s="10"/>
      <c r="BO53" s="10"/>
      <c r="BP53" s="10"/>
      <c r="BQ53" s="10"/>
      <c r="BR53" s="10"/>
      <c r="BS53" s="10"/>
      <c r="BT53" s="10"/>
      <c r="BU53" s="18"/>
      <c r="BV53" s="10"/>
      <c r="BW53" s="53"/>
      <c r="BX53" s="53"/>
      <c r="BY53" s="10"/>
      <c r="BZ53" s="10"/>
      <c r="CA53" s="10"/>
      <c r="CB53" s="10"/>
      <c r="CC53" s="10"/>
      <c r="CD53" s="10"/>
      <c r="CE53" s="10"/>
      <c r="CF53" s="10"/>
      <c r="CG53" s="10"/>
      <c r="CH53" s="10"/>
      <c r="CI53" s="10"/>
      <c r="CJ53" s="10"/>
      <c r="CK53" s="10"/>
      <c r="CL53" s="10"/>
      <c r="CM53" s="10"/>
      <c r="CN53" s="10"/>
      <c r="CO53" s="10"/>
      <c r="CP53" s="10"/>
      <c r="CQ53" s="10"/>
      <c r="CR53" s="10"/>
      <c r="CU53" s="10"/>
      <c r="CV53" s="10"/>
      <c r="CW53" s="10"/>
      <c r="CX53" s="10"/>
      <c r="CY53" s="10"/>
      <c r="CZ53" s="10"/>
      <c r="DA53" s="18"/>
      <c r="DB53" s="10"/>
      <c r="DC53" s="53"/>
      <c r="DD53" s="53"/>
      <c r="DE53" s="10"/>
      <c r="DF53" s="10"/>
      <c r="DG53" s="10"/>
      <c r="DH53" s="10"/>
      <c r="DI53" s="10"/>
      <c r="DJ53" s="10"/>
      <c r="DK53" s="10"/>
      <c r="DL53" s="10"/>
      <c r="DM53" s="10"/>
      <c r="DN53" s="10"/>
      <c r="DO53" s="10"/>
      <c r="DP53" s="10"/>
      <c r="DQ53" s="10"/>
      <c r="DR53" s="10"/>
      <c r="DS53" s="10"/>
      <c r="DT53" s="10"/>
      <c r="DU53" s="10"/>
      <c r="DV53" s="10"/>
      <c r="DW53" s="10"/>
      <c r="DX53" s="10"/>
      <c r="EA53" s="10"/>
      <c r="EB53" s="10"/>
      <c r="EC53" s="10"/>
      <c r="ED53" s="10"/>
      <c r="EE53" s="10"/>
      <c r="EF53" s="10"/>
      <c r="EG53" s="18"/>
      <c r="EH53" s="10"/>
      <c r="EI53" s="53"/>
      <c r="EJ53" s="53"/>
      <c r="EK53" s="10"/>
      <c r="EL53" s="10"/>
      <c r="EM53" s="10"/>
      <c r="EN53" s="10"/>
      <c r="EO53" s="10"/>
      <c r="EP53" s="10"/>
      <c r="EQ53" s="10"/>
      <c r="ER53" s="10"/>
      <c r="ES53" s="10"/>
      <c r="ET53" s="10"/>
      <c r="EU53" s="10"/>
      <c r="EV53" s="10"/>
      <c r="EW53" s="10"/>
      <c r="EX53" s="10"/>
      <c r="EY53" s="10"/>
      <c r="EZ53" s="10"/>
      <c r="FA53" s="10"/>
      <c r="FB53" s="10"/>
      <c r="FC53" s="10"/>
      <c r="FD53" s="10"/>
      <c r="FG53" s="10"/>
      <c r="FH53" s="10"/>
      <c r="FI53" s="10"/>
      <c r="FJ53" s="10"/>
      <c r="FK53" s="10"/>
      <c r="FL53" s="10"/>
      <c r="FM53" s="18"/>
      <c r="FN53" s="10"/>
      <c r="FO53" s="53"/>
      <c r="FP53" s="53"/>
      <c r="FQ53" s="10"/>
      <c r="FR53" s="10"/>
      <c r="FS53" s="10"/>
      <c r="FT53" s="10"/>
      <c r="FU53" s="10"/>
      <c r="FV53" s="10"/>
      <c r="FW53" s="10"/>
      <c r="FX53" s="10"/>
      <c r="FY53" s="10"/>
      <c r="FZ53" s="10"/>
      <c r="GA53" s="10"/>
      <c r="GB53" s="10"/>
      <c r="GC53" s="10"/>
      <c r="GD53" s="10"/>
      <c r="GE53" s="10"/>
      <c r="GF53" s="10"/>
      <c r="GG53" s="10"/>
      <c r="GH53" s="10"/>
      <c r="GI53" s="10"/>
      <c r="GJ53" s="10"/>
      <c r="GM53" s="10"/>
      <c r="GN53" s="10"/>
      <c r="GO53" s="10"/>
      <c r="GP53" s="10"/>
      <c r="GQ53" s="10"/>
      <c r="GR53" s="10"/>
      <c r="GS53" s="18"/>
      <c r="GT53" s="10"/>
      <c r="GU53" s="53"/>
      <c r="GV53" s="53"/>
      <c r="GW53" s="10"/>
      <c r="GX53" s="10"/>
      <c r="GY53" s="10"/>
      <c r="GZ53" s="10"/>
      <c r="HA53" s="10"/>
      <c r="HB53" s="10"/>
      <c r="HC53" s="10"/>
      <c r="HD53" s="10"/>
      <c r="HE53" s="10"/>
      <c r="HF53" s="10"/>
      <c r="HG53" s="10"/>
      <c r="HH53" s="10"/>
      <c r="HI53" s="10"/>
      <c r="HJ53" s="10"/>
      <c r="HK53" s="10"/>
      <c r="HL53" s="10"/>
      <c r="HM53" s="10"/>
      <c r="HN53" s="10"/>
      <c r="HO53" s="10"/>
      <c r="HP53" s="10"/>
      <c r="HS53" s="10"/>
      <c r="HT53" s="10"/>
      <c r="HU53" s="10"/>
      <c r="HV53" s="10"/>
      <c r="HW53" s="10"/>
      <c r="HX53" s="10"/>
      <c r="HY53" s="18"/>
      <c r="HZ53" s="10"/>
      <c r="IA53" s="53"/>
      <c r="IB53" s="53"/>
      <c r="IC53" s="10"/>
      <c r="ID53" s="10"/>
      <c r="IE53" s="10"/>
      <c r="IF53" s="10"/>
      <c r="IG53" s="10"/>
      <c r="IH53" s="10"/>
      <c r="II53" s="10"/>
      <c r="IJ53" s="10"/>
      <c r="IK53" s="10"/>
      <c r="IL53" s="10"/>
      <c r="IM53" s="10"/>
      <c r="IN53" s="10"/>
      <c r="IO53" s="10"/>
      <c r="IP53" s="10"/>
      <c r="IQ53" s="10"/>
      <c r="IR53" s="10"/>
      <c r="IS53" s="10"/>
      <c r="IT53" s="10"/>
      <c r="IU53" s="10"/>
      <c r="IV53" s="10"/>
    </row>
    <row r="54" spans="4:256" ht="12.75">
      <c r="D54" s="10">
        <f t="shared" si="18"/>
        <v>-3039455.0934472107</v>
      </c>
      <c r="E54" s="10">
        <f t="shared" si="18"/>
        <v>-2100908.9573561093</v>
      </c>
      <c r="F54" s="10">
        <f t="shared" si="18"/>
        <v>-1271036.1568096622</v>
      </c>
      <c r="G54" s="10">
        <f t="shared" si="18"/>
        <v>-538085.6778701667</v>
      </c>
      <c r="H54" s="10">
        <f t="shared" si="21"/>
        <v>108433.03362973942</v>
      </c>
      <c r="I54" s="18"/>
      <c r="J54" s="10">
        <f t="shared" si="19"/>
        <v>-984384.3592337453</v>
      </c>
      <c r="K54" s="53">
        <f t="shared" si="20"/>
        <v>0.296630859375</v>
      </c>
      <c r="L54" s="53">
        <f>Prob_up^4*Prob_down^2</f>
        <v>0.019775390625</v>
      </c>
      <c r="M54" s="10">
        <f>B52+C52+D52+E52+F52+G53+H54</f>
        <v>3203969.5023833467</v>
      </c>
      <c r="N54" s="10">
        <f>B52+C52+D52+E52+F53+G53+H54</f>
        <v>1485389.18900798</v>
      </c>
      <c r="O54" s="10">
        <f>B52+C52+D52+E52+F53+G54+H54</f>
        <v>96964.39129191183</v>
      </c>
      <c r="P54" s="10">
        <f>B52+C52+D52+E53+F53+G53+H54</f>
        <v>-256250.8772470561</v>
      </c>
      <c r="Q54" s="10">
        <f>B52+C52+D52+E53+F53+G54+H54</f>
        <v>-1644675.6749631243</v>
      </c>
      <c r="R54" s="10">
        <f>B52+C52+D52+E53+F54+G54+H54</f>
        <v>-3051730.229157931</v>
      </c>
      <c r="S54" s="10">
        <f>B52+C52+D53+E53+F53+G53+H54</f>
        <v>-2021260.110029023</v>
      </c>
      <c r="T54" s="10">
        <f>B52+C52+D53+E53+F53+G54+H54</f>
        <v>-3409684.9077450912</v>
      </c>
      <c r="U54" s="10">
        <f>B52+C52+D53+E53+F54+G54+H54</f>
        <v>-4816739.461939898</v>
      </c>
      <c r="V54" s="10">
        <f>B52+C52+D53+E54+F54+G54+H54</f>
        <v>-6242673.74497567</v>
      </c>
      <c r="W54" s="10">
        <f>B52+C53+D53+E53+F53+G53+H54</f>
        <v>-3809952.0746690948</v>
      </c>
      <c r="X54" s="10">
        <f>B52+C53+D53+E53+F53+G54+H54</f>
        <v>-5198376.872385163</v>
      </c>
      <c r="Y54" s="10">
        <f>B52+C53+D53+E53+F54+G54+H54</f>
        <v>-6605431.426579971</v>
      </c>
      <c r="Z54" s="10">
        <f>B52+C53+D53+E54+F54+G54+H54</f>
        <v>-8031365.709615743</v>
      </c>
      <c r="AA54" s="10">
        <f>B52+C53+D54+E54+F54+G54+H54</f>
        <v>-9476433.047960915</v>
      </c>
      <c r="AB54" s="10"/>
      <c r="AC54" s="10"/>
      <c r="AD54" s="10"/>
      <c r="AE54" s="10"/>
      <c r="AF54" s="10"/>
      <c r="AJ54" s="10"/>
      <c r="AK54" s="10"/>
      <c r="AL54" s="10"/>
      <c r="AM54" s="10"/>
      <c r="AN54" s="10"/>
      <c r="AO54" s="18"/>
      <c r="AP54" s="10"/>
      <c r="AQ54" s="53"/>
      <c r="AR54" s="53"/>
      <c r="AS54" s="10"/>
      <c r="AT54" s="10"/>
      <c r="AU54" s="10"/>
      <c r="AV54" s="10"/>
      <c r="AW54" s="10"/>
      <c r="AX54" s="10"/>
      <c r="AY54" s="10"/>
      <c r="AZ54" s="10"/>
      <c r="BA54" s="10"/>
      <c r="BB54" s="10"/>
      <c r="BC54" s="10"/>
      <c r="BD54" s="10"/>
      <c r="BE54" s="10"/>
      <c r="BF54" s="10"/>
      <c r="BG54" s="10"/>
      <c r="BH54" s="10"/>
      <c r="BI54" s="10"/>
      <c r="BJ54" s="10"/>
      <c r="BK54" s="10"/>
      <c r="BL54" s="10"/>
      <c r="BP54" s="10"/>
      <c r="BQ54" s="10"/>
      <c r="BR54" s="10"/>
      <c r="BS54" s="10"/>
      <c r="BT54" s="10"/>
      <c r="BU54" s="18"/>
      <c r="BV54" s="10"/>
      <c r="BW54" s="53"/>
      <c r="BX54" s="53"/>
      <c r="BY54" s="10"/>
      <c r="BZ54" s="10"/>
      <c r="CA54" s="10"/>
      <c r="CB54" s="10"/>
      <c r="CC54" s="10"/>
      <c r="CD54" s="10"/>
      <c r="CE54" s="10"/>
      <c r="CF54" s="10"/>
      <c r="CG54" s="10"/>
      <c r="CH54" s="10"/>
      <c r="CI54" s="10"/>
      <c r="CJ54" s="10"/>
      <c r="CK54" s="10"/>
      <c r="CL54" s="10"/>
      <c r="CM54" s="10"/>
      <c r="CN54" s="10"/>
      <c r="CO54" s="10"/>
      <c r="CP54" s="10"/>
      <c r="CQ54" s="10"/>
      <c r="CR54" s="10"/>
      <c r="CV54" s="10"/>
      <c r="CW54" s="10"/>
      <c r="CX54" s="10"/>
      <c r="CY54" s="10"/>
      <c r="CZ54" s="10"/>
      <c r="DA54" s="18"/>
      <c r="DB54" s="10"/>
      <c r="DC54" s="53"/>
      <c r="DD54" s="53"/>
      <c r="DE54" s="10"/>
      <c r="DF54" s="10"/>
      <c r="DG54" s="10"/>
      <c r="DH54" s="10"/>
      <c r="DI54" s="10"/>
      <c r="DJ54" s="10"/>
      <c r="DK54" s="10"/>
      <c r="DL54" s="10"/>
      <c r="DM54" s="10"/>
      <c r="DN54" s="10"/>
      <c r="DO54" s="10"/>
      <c r="DP54" s="10"/>
      <c r="DQ54" s="10"/>
      <c r="DR54" s="10"/>
      <c r="DS54" s="10"/>
      <c r="DT54" s="10"/>
      <c r="DU54" s="10"/>
      <c r="DV54" s="10"/>
      <c r="DW54" s="10"/>
      <c r="DX54" s="10"/>
      <c r="EB54" s="10"/>
      <c r="EC54" s="10"/>
      <c r="ED54" s="10"/>
      <c r="EE54" s="10"/>
      <c r="EF54" s="10"/>
      <c r="EG54" s="18"/>
      <c r="EH54" s="10"/>
      <c r="EI54" s="53"/>
      <c r="EJ54" s="53"/>
      <c r="EK54" s="10"/>
      <c r="EL54" s="10"/>
      <c r="EM54" s="10"/>
      <c r="EN54" s="10"/>
      <c r="EO54" s="10"/>
      <c r="EP54" s="10"/>
      <c r="EQ54" s="10"/>
      <c r="ER54" s="10"/>
      <c r="ES54" s="10"/>
      <c r="ET54" s="10"/>
      <c r="EU54" s="10"/>
      <c r="EV54" s="10"/>
      <c r="EW54" s="10"/>
      <c r="EX54" s="10"/>
      <c r="EY54" s="10"/>
      <c r="EZ54" s="10"/>
      <c r="FA54" s="10"/>
      <c r="FB54" s="10"/>
      <c r="FC54" s="10"/>
      <c r="FD54" s="10"/>
      <c r="FH54" s="10"/>
      <c r="FI54" s="10"/>
      <c r="FJ54" s="10"/>
      <c r="FK54" s="10"/>
      <c r="FL54" s="10"/>
      <c r="FM54" s="18"/>
      <c r="FN54" s="10"/>
      <c r="FO54" s="53"/>
      <c r="FP54" s="53"/>
      <c r="FQ54" s="10"/>
      <c r="FR54" s="10"/>
      <c r="FS54" s="10"/>
      <c r="FT54" s="10"/>
      <c r="FU54" s="10"/>
      <c r="FV54" s="10"/>
      <c r="FW54" s="10"/>
      <c r="FX54" s="10"/>
      <c r="FY54" s="10"/>
      <c r="FZ54" s="10"/>
      <c r="GA54" s="10"/>
      <c r="GB54" s="10"/>
      <c r="GC54" s="10"/>
      <c r="GD54" s="10"/>
      <c r="GE54" s="10"/>
      <c r="GF54" s="10"/>
      <c r="GG54" s="10"/>
      <c r="GH54" s="10"/>
      <c r="GI54" s="10"/>
      <c r="GJ54" s="10"/>
      <c r="GN54" s="10"/>
      <c r="GO54" s="10"/>
      <c r="GP54" s="10"/>
      <c r="GQ54" s="10"/>
      <c r="GR54" s="10"/>
      <c r="GS54" s="18"/>
      <c r="GT54" s="10"/>
      <c r="GU54" s="53"/>
      <c r="GV54" s="53"/>
      <c r="GW54" s="10"/>
      <c r="GX54" s="10"/>
      <c r="GY54" s="10"/>
      <c r="GZ54" s="10"/>
      <c r="HA54" s="10"/>
      <c r="HB54" s="10"/>
      <c r="HC54" s="10"/>
      <c r="HD54" s="10"/>
      <c r="HE54" s="10"/>
      <c r="HF54" s="10"/>
      <c r="HG54" s="10"/>
      <c r="HH54" s="10"/>
      <c r="HI54" s="10"/>
      <c r="HJ54" s="10"/>
      <c r="HK54" s="10"/>
      <c r="HL54" s="10"/>
      <c r="HM54" s="10"/>
      <c r="HN54" s="10"/>
      <c r="HO54" s="10"/>
      <c r="HP54" s="10"/>
      <c r="HT54" s="10"/>
      <c r="HU54" s="10"/>
      <c r="HV54" s="10"/>
      <c r="HW54" s="10"/>
      <c r="HX54" s="10"/>
      <c r="HY54" s="18"/>
      <c r="HZ54" s="10"/>
      <c r="IA54" s="53"/>
      <c r="IB54" s="53"/>
      <c r="IC54" s="10"/>
      <c r="ID54" s="10"/>
      <c r="IE54" s="10"/>
      <c r="IF54" s="10"/>
      <c r="IG54" s="10"/>
      <c r="IH54" s="10"/>
      <c r="II54" s="10"/>
      <c r="IJ54" s="10"/>
      <c r="IK54" s="10"/>
      <c r="IL54" s="10"/>
      <c r="IM54" s="10"/>
      <c r="IN54" s="10"/>
      <c r="IO54" s="10"/>
      <c r="IP54" s="10"/>
      <c r="IQ54" s="10"/>
      <c r="IR54" s="10"/>
      <c r="IS54" s="10"/>
      <c r="IT54" s="10"/>
      <c r="IU54" s="10"/>
      <c r="IV54" s="10"/>
    </row>
    <row r="55" spans="5:256" ht="12.75">
      <c r="E55" s="10">
        <f t="shared" si="18"/>
        <v>-3268365.2067456986</v>
      </c>
      <c r="F55" s="10">
        <f t="shared" si="18"/>
        <v>-2423034.9915873804</v>
      </c>
      <c r="G55" s="10">
        <f t="shared" si="18"/>
        <v>-1674831.758096388</v>
      </c>
      <c r="H55" s="10">
        <f t="shared" si="21"/>
        <v>-1013262.2423546413</v>
      </c>
      <c r="I55" s="18"/>
      <c r="J55" s="10">
        <f t="shared" si="19"/>
        <v>-1050786.7631008502</v>
      </c>
      <c r="K55" s="53">
        <f t="shared" si="20"/>
        <v>0.1318359375</v>
      </c>
      <c r="L55" s="53">
        <f>Prob_up^3*Prob_down^3</f>
        <v>0.006591796875</v>
      </c>
      <c r="M55" s="10">
        <f>B52+C52+D52+E52+F53+G54+H55</f>
        <v>-1024730.8846924689</v>
      </c>
      <c r="N55" s="10">
        <f>B52++C52+D52+E53+F53+G54+H55</f>
        <v>-2766370.950947505</v>
      </c>
      <c r="O55" s="10">
        <f>B52+C52+D52+E53++F54+G54+H55</f>
        <v>-4173425.505142312</v>
      </c>
      <c r="P55" s="10">
        <f>B52+C52+D52+E53+F54+G55+H55</f>
        <v>-5310171.585368534</v>
      </c>
      <c r="Q55" s="10">
        <f>B52+C52+D53+E53+F53+G54+H55</f>
        <v>-4531380.183729473</v>
      </c>
      <c r="R55" s="10">
        <f>B52+C52+D53+E53+F54+G54+H55</f>
        <v>-5938434.73792428</v>
      </c>
      <c r="S55" s="10">
        <f>B52+C52+D53+E53+F54+G55+H55</f>
        <v>-7075180.818150501</v>
      </c>
      <c r="T55" s="10">
        <f>B52+C52+D53+E54+F54+G54+H55</f>
        <v>-7364369.020960052</v>
      </c>
      <c r="U55" s="10">
        <f>B52+C52+D53+E54+F54+G55+H55</f>
        <v>-8501115.101186272</v>
      </c>
      <c r="V55" s="10">
        <f>B52+C52+D53+E54+F55+G55+H55</f>
        <v>-9653113.93596399</v>
      </c>
      <c r="W55" s="10">
        <f>B52+C53+D53+E53+F53+G54+H55</f>
        <v>-6320072.148369544</v>
      </c>
      <c r="X55" s="10">
        <f>B52+C53+D53+E53+F54+G54+H55</f>
        <v>-7727126.702564352</v>
      </c>
      <c r="Y55" s="10">
        <f>B52+C53+D53+E53+F54+G55+H55</f>
        <v>-8863872.782790573</v>
      </c>
      <c r="Z55" s="10">
        <f>B52+C53+D53+E54+F54+G54+H55</f>
        <v>-9153060.985600123</v>
      </c>
      <c r="AA55" s="10">
        <f>B52+C53+D53+E54+F54+G55+H55</f>
        <v>-10289807.065826345</v>
      </c>
      <c r="AB55" s="10">
        <f>B52+C53+D53+E54+F55+G55+H55</f>
        <v>-11441805.900604062</v>
      </c>
      <c r="AC55" s="10">
        <f>B52+C53+D54+E54+F54+G54+H55</f>
        <v>-10598128.323945295</v>
      </c>
      <c r="AD55" s="10">
        <f>B52+C53+D54+E54+F54+G55+H55</f>
        <v>-11734874.404171515</v>
      </c>
      <c r="AE55" s="10">
        <f>B52+C53+D54+E54+F55+G55+H55</f>
        <v>-12886873.238949234</v>
      </c>
      <c r="AF55" s="10">
        <f>B52+C53+D54+E55+F55+G55+H55</f>
        <v>-14054329.488338822</v>
      </c>
      <c r="AK55" s="10"/>
      <c r="AL55" s="10"/>
      <c r="AM55" s="10"/>
      <c r="AN55" s="10"/>
      <c r="AO55" s="18"/>
      <c r="AP55" s="10"/>
      <c r="AQ55" s="53"/>
      <c r="AR55" s="53"/>
      <c r="AS55" s="10"/>
      <c r="AT55" s="10"/>
      <c r="AU55" s="10"/>
      <c r="AV55" s="10"/>
      <c r="AW55" s="10"/>
      <c r="AX55" s="10"/>
      <c r="AY55" s="10"/>
      <c r="AZ55" s="10"/>
      <c r="BA55" s="10"/>
      <c r="BB55" s="10"/>
      <c r="BC55" s="10"/>
      <c r="BD55" s="10"/>
      <c r="BE55" s="10"/>
      <c r="BF55" s="10"/>
      <c r="BG55" s="10"/>
      <c r="BH55" s="10"/>
      <c r="BI55" s="10"/>
      <c r="BJ55" s="10"/>
      <c r="BK55" s="10"/>
      <c r="BL55" s="10"/>
      <c r="BQ55" s="10"/>
      <c r="BR55" s="10"/>
      <c r="BS55" s="10"/>
      <c r="BT55" s="10"/>
      <c r="BU55" s="18"/>
      <c r="BV55" s="10"/>
      <c r="BW55" s="53"/>
      <c r="BX55" s="53"/>
      <c r="BY55" s="10"/>
      <c r="BZ55" s="10"/>
      <c r="CA55" s="10"/>
      <c r="CB55" s="10"/>
      <c r="CC55" s="10"/>
      <c r="CD55" s="10"/>
      <c r="CE55" s="10"/>
      <c r="CF55" s="10"/>
      <c r="CG55" s="10"/>
      <c r="CH55" s="10"/>
      <c r="CI55" s="10"/>
      <c r="CJ55" s="10"/>
      <c r="CK55" s="10"/>
      <c r="CL55" s="10"/>
      <c r="CM55" s="10"/>
      <c r="CN55" s="10"/>
      <c r="CO55" s="10"/>
      <c r="CP55" s="10"/>
      <c r="CQ55" s="10"/>
      <c r="CR55" s="10"/>
      <c r="CW55" s="10"/>
      <c r="CX55" s="10"/>
      <c r="CY55" s="10"/>
      <c r="CZ55" s="10"/>
      <c r="DA55" s="18"/>
      <c r="DB55" s="10"/>
      <c r="DC55" s="53"/>
      <c r="DD55" s="53"/>
      <c r="DE55" s="10"/>
      <c r="DF55" s="10"/>
      <c r="DG55" s="10"/>
      <c r="DH55" s="10"/>
      <c r="DI55" s="10"/>
      <c r="DJ55" s="10"/>
      <c r="DK55" s="10"/>
      <c r="DL55" s="10"/>
      <c r="DM55" s="10"/>
      <c r="DN55" s="10"/>
      <c r="DO55" s="10"/>
      <c r="DP55" s="10"/>
      <c r="DQ55" s="10"/>
      <c r="DR55" s="10"/>
      <c r="DS55" s="10"/>
      <c r="DT55" s="10"/>
      <c r="DU55" s="10"/>
      <c r="DV55" s="10"/>
      <c r="DW55" s="10"/>
      <c r="DX55" s="10"/>
      <c r="EC55" s="10"/>
      <c r="ED55" s="10"/>
      <c r="EE55" s="10"/>
      <c r="EF55" s="10"/>
      <c r="EG55" s="18"/>
      <c r="EH55" s="10"/>
      <c r="EI55" s="53"/>
      <c r="EJ55" s="53"/>
      <c r="EK55" s="10"/>
      <c r="EL55" s="10"/>
      <c r="EM55" s="10"/>
      <c r="EN55" s="10"/>
      <c r="EO55" s="10"/>
      <c r="EP55" s="10"/>
      <c r="EQ55" s="10"/>
      <c r="ER55" s="10"/>
      <c r="ES55" s="10"/>
      <c r="ET55" s="10"/>
      <c r="EU55" s="10"/>
      <c r="EV55" s="10"/>
      <c r="EW55" s="10"/>
      <c r="EX55" s="10"/>
      <c r="EY55" s="10"/>
      <c r="EZ55" s="10"/>
      <c r="FA55" s="10"/>
      <c r="FB55" s="10"/>
      <c r="FC55" s="10"/>
      <c r="FD55" s="10"/>
      <c r="FI55" s="10"/>
      <c r="FJ55" s="10"/>
      <c r="FK55" s="10"/>
      <c r="FL55" s="10"/>
      <c r="FM55" s="18"/>
      <c r="FN55" s="10"/>
      <c r="FO55" s="53"/>
      <c r="FP55" s="53"/>
      <c r="FQ55" s="10"/>
      <c r="FR55" s="10"/>
      <c r="FS55" s="10"/>
      <c r="FT55" s="10"/>
      <c r="FU55" s="10"/>
      <c r="FV55" s="10"/>
      <c r="FW55" s="10"/>
      <c r="FX55" s="10"/>
      <c r="FY55" s="10"/>
      <c r="FZ55" s="10"/>
      <c r="GA55" s="10"/>
      <c r="GB55" s="10"/>
      <c r="GC55" s="10"/>
      <c r="GD55" s="10"/>
      <c r="GE55" s="10"/>
      <c r="GF55" s="10"/>
      <c r="GG55" s="10"/>
      <c r="GH55" s="10"/>
      <c r="GI55" s="10"/>
      <c r="GJ55" s="10"/>
      <c r="GO55" s="10"/>
      <c r="GP55" s="10"/>
      <c r="GQ55" s="10"/>
      <c r="GR55" s="10"/>
      <c r="GS55" s="18"/>
      <c r="GT55" s="10"/>
      <c r="GU55" s="53"/>
      <c r="GV55" s="53"/>
      <c r="GW55" s="10"/>
      <c r="GX55" s="10"/>
      <c r="GY55" s="10"/>
      <c r="GZ55" s="10"/>
      <c r="HA55" s="10"/>
      <c r="HB55" s="10"/>
      <c r="HC55" s="10"/>
      <c r="HD55" s="10"/>
      <c r="HE55" s="10"/>
      <c r="HF55" s="10"/>
      <c r="HG55" s="10"/>
      <c r="HH55" s="10"/>
      <c r="HI55" s="10"/>
      <c r="HJ55" s="10"/>
      <c r="HK55" s="10"/>
      <c r="HL55" s="10"/>
      <c r="HM55" s="10"/>
      <c r="HN55" s="10"/>
      <c r="HO55" s="10"/>
      <c r="HP55" s="10"/>
      <c r="HU55" s="10"/>
      <c r="HV55" s="10"/>
      <c r="HW55" s="10"/>
      <c r="HX55" s="10"/>
      <c r="HY55" s="18"/>
      <c r="HZ55" s="10"/>
      <c r="IA55" s="53"/>
      <c r="IB55" s="53"/>
      <c r="IC55" s="10"/>
      <c r="ID55" s="10"/>
      <c r="IE55" s="10"/>
      <c r="IF55" s="10"/>
      <c r="IG55" s="10"/>
      <c r="IH55" s="10"/>
      <c r="II55" s="10"/>
      <c r="IJ55" s="10"/>
      <c r="IK55" s="10"/>
      <c r="IL55" s="10"/>
      <c r="IM55" s="10"/>
      <c r="IN55" s="10"/>
      <c r="IO55" s="10"/>
      <c r="IP55" s="10"/>
      <c r="IQ55" s="10"/>
      <c r="IR55" s="10"/>
      <c r="IS55" s="10"/>
      <c r="IT55" s="10"/>
      <c r="IU55" s="10"/>
      <c r="IV55" s="10"/>
    </row>
    <row r="56" spans="6:256" ht="12.75">
      <c r="F56" s="10">
        <f t="shared" si="21"/>
        <v>-3366211.8651299</v>
      </c>
      <c r="G56" s="10">
        <f t="shared" si="21"/>
        <v>-2605520.732418446</v>
      </c>
      <c r="H56" s="10">
        <f t="shared" si="21"/>
        <v>-1931628.6603853477</v>
      </c>
      <c r="I56" s="18"/>
      <c r="J56" s="10">
        <f t="shared" si="19"/>
        <v>-398306.5013433652</v>
      </c>
      <c r="K56" s="53">
        <f t="shared" si="20"/>
        <v>0.032958984375</v>
      </c>
      <c r="L56" s="53">
        <f>Prob_up^2*Prob_down^4</f>
        <v>0.002197265625</v>
      </c>
      <c r="M56" s="10">
        <f>B52+C52+D52+E53+F54+G55+H56</f>
        <v>-6228538.00339924</v>
      </c>
      <c r="N56" s="10">
        <f>B52+C52+D53+E53+F54+G55+H56</f>
        <v>-7993547.236181207</v>
      </c>
      <c r="O56" s="10">
        <f>B52+C52+D53+E54+F54+G55+H56</f>
        <v>-9419481.519216979</v>
      </c>
      <c r="P56" s="10">
        <f>B52+C52+D53+E54+F55+G55+H56</f>
        <v>-10571480.353994697</v>
      </c>
      <c r="Q56" s="10">
        <f>B52+C52+D53+E54+F55+G56+H56</f>
        <v>-11502169.328316756</v>
      </c>
      <c r="R56" s="10">
        <f>B52+C53+D53+E53+F54+G55+H56</f>
        <v>-9782239.20082128</v>
      </c>
      <c r="S56" s="10">
        <f>B52+C53+D53+E54++F54+G55+H56</f>
        <v>-11208173.483857052</v>
      </c>
      <c r="T56" s="10">
        <f>B52+C53+D53+E54+F55++G55+H56</f>
        <v>-12360172.318634769</v>
      </c>
      <c r="U56" s="10">
        <f>B52+C53+D53+E54+F55+G56+H56</f>
        <v>-13290861.292956827</v>
      </c>
      <c r="V56" s="10">
        <f>B52+C53+D54+E54+F54+G55+H56</f>
        <v>-12653240.822202222</v>
      </c>
      <c r="W56" s="10">
        <f>B52+C53+D54+E54++F55+G55+H56</f>
        <v>-13805239.65697994</v>
      </c>
      <c r="X56" s="10">
        <f>B52+C53+D54+E54+F55+G56+H56</f>
        <v>-14735928.631302</v>
      </c>
      <c r="Y56" s="10">
        <f>B52+C53+D54+E55+F55+G55+H56</f>
        <v>-14972695.90636953</v>
      </c>
      <c r="Z56" s="10">
        <f>B52+C53+D54+E55+F55+G56+H56</f>
        <v>-15903384.880691588</v>
      </c>
      <c r="AA56" s="10">
        <f>B52+C53+D54+E55+F56+G56+H56</f>
        <v>-16846561.754234105</v>
      </c>
      <c r="AB56" s="10"/>
      <c r="AC56" s="10"/>
      <c r="AD56" s="10"/>
      <c r="AE56" s="10"/>
      <c r="AF56" s="10"/>
      <c r="AL56" s="10"/>
      <c r="AM56" s="10"/>
      <c r="AN56" s="10"/>
      <c r="AO56" s="18"/>
      <c r="AP56" s="10"/>
      <c r="AQ56" s="53"/>
      <c r="AR56" s="53"/>
      <c r="AS56" s="10"/>
      <c r="AT56" s="10"/>
      <c r="AU56" s="10"/>
      <c r="AV56" s="10"/>
      <c r="AW56" s="10"/>
      <c r="AX56" s="10"/>
      <c r="AY56" s="10"/>
      <c r="AZ56" s="10"/>
      <c r="BA56" s="10"/>
      <c r="BB56" s="10"/>
      <c r="BC56" s="10"/>
      <c r="BD56" s="10"/>
      <c r="BE56" s="10"/>
      <c r="BF56" s="10"/>
      <c r="BG56" s="10"/>
      <c r="BH56" s="10"/>
      <c r="BI56" s="10"/>
      <c r="BJ56" s="10"/>
      <c r="BK56" s="10"/>
      <c r="BL56" s="10"/>
      <c r="BR56" s="10"/>
      <c r="BS56" s="10"/>
      <c r="BT56" s="10"/>
      <c r="BU56" s="18"/>
      <c r="BV56" s="10"/>
      <c r="BW56" s="53"/>
      <c r="BX56" s="53"/>
      <c r="BY56" s="10"/>
      <c r="BZ56" s="10"/>
      <c r="CA56" s="10"/>
      <c r="CB56" s="10"/>
      <c r="CC56" s="10"/>
      <c r="CD56" s="10"/>
      <c r="CE56" s="10"/>
      <c r="CF56" s="10"/>
      <c r="CG56" s="10"/>
      <c r="CH56" s="10"/>
      <c r="CI56" s="10"/>
      <c r="CJ56" s="10"/>
      <c r="CK56" s="10"/>
      <c r="CL56" s="10"/>
      <c r="CM56" s="10"/>
      <c r="CN56" s="10"/>
      <c r="CO56" s="10"/>
      <c r="CP56" s="10"/>
      <c r="CQ56" s="10"/>
      <c r="CR56" s="10"/>
      <c r="CX56" s="10"/>
      <c r="CY56" s="10"/>
      <c r="CZ56" s="10"/>
      <c r="DA56" s="18"/>
      <c r="DB56" s="10"/>
      <c r="DC56" s="53"/>
      <c r="DD56" s="53"/>
      <c r="DE56" s="10"/>
      <c r="DF56" s="10"/>
      <c r="DG56" s="10"/>
      <c r="DH56" s="10"/>
      <c r="DI56" s="10"/>
      <c r="DJ56" s="10"/>
      <c r="DK56" s="10"/>
      <c r="DL56" s="10"/>
      <c r="DM56" s="10"/>
      <c r="DN56" s="10"/>
      <c r="DO56" s="10"/>
      <c r="DP56" s="10"/>
      <c r="DQ56" s="10"/>
      <c r="DR56" s="10"/>
      <c r="DS56" s="10"/>
      <c r="DT56" s="10"/>
      <c r="DU56" s="10"/>
      <c r="DV56" s="10"/>
      <c r="DW56" s="10"/>
      <c r="DX56" s="10"/>
      <c r="ED56" s="10"/>
      <c r="EE56" s="10"/>
      <c r="EF56" s="10"/>
      <c r="EG56" s="18"/>
      <c r="EH56" s="10"/>
      <c r="EI56" s="53"/>
      <c r="EJ56" s="53"/>
      <c r="EK56" s="10"/>
      <c r="EL56" s="10"/>
      <c r="EM56" s="10"/>
      <c r="EN56" s="10"/>
      <c r="EO56" s="10"/>
      <c r="EP56" s="10"/>
      <c r="EQ56" s="10"/>
      <c r="ER56" s="10"/>
      <c r="ES56" s="10"/>
      <c r="ET56" s="10"/>
      <c r="EU56" s="10"/>
      <c r="EV56" s="10"/>
      <c r="EW56" s="10"/>
      <c r="EX56" s="10"/>
      <c r="EY56" s="10"/>
      <c r="EZ56" s="10"/>
      <c r="FA56" s="10"/>
      <c r="FB56" s="10"/>
      <c r="FC56" s="10"/>
      <c r="FD56" s="10"/>
      <c r="FJ56" s="10"/>
      <c r="FK56" s="10"/>
      <c r="FL56" s="10"/>
      <c r="FM56" s="18"/>
      <c r="FN56" s="10"/>
      <c r="FO56" s="53"/>
      <c r="FP56" s="53"/>
      <c r="FQ56" s="10"/>
      <c r="FR56" s="10"/>
      <c r="FS56" s="10"/>
      <c r="FT56" s="10"/>
      <c r="FU56" s="10"/>
      <c r="FV56" s="10"/>
      <c r="FW56" s="10"/>
      <c r="FX56" s="10"/>
      <c r="FY56" s="10"/>
      <c r="FZ56" s="10"/>
      <c r="GA56" s="10"/>
      <c r="GB56" s="10"/>
      <c r="GC56" s="10"/>
      <c r="GD56" s="10"/>
      <c r="GE56" s="10"/>
      <c r="GF56" s="10"/>
      <c r="GG56" s="10"/>
      <c r="GH56" s="10"/>
      <c r="GI56" s="10"/>
      <c r="GJ56" s="10"/>
      <c r="GP56" s="10"/>
      <c r="GQ56" s="10"/>
      <c r="GR56" s="10"/>
      <c r="GS56" s="18"/>
      <c r="GT56" s="10"/>
      <c r="GU56" s="53"/>
      <c r="GV56" s="53"/>
      <c r="GW56" s="10"/>
      <c r="GX56" s="10"/>
      <c r="GY56" s="10"/>
      <c r="GZ56" s="10"/>
      <c r="HA56" s="10"/>
      <c r="HB56" s="10"/>
      <c r="HC56" s="10"/>
      <c r="HD56" s="10"/>
      <c r="HE56" s="10"/>
      <c r="HF56" s="10"/>
      <c r="HG56" s="10"/>
      <c r="HH56" s="10"/>
      <c r="HI56" s="10"/>
      <c r="HJ56" s="10"/>
      <c r="HK56" s="10"/>
      <c r="HL56" s="10"/>
      <c r="HM56" s="10"/>
      <c r="HN56" s="10"/>
      <c r="HO56" s="10"/>
      <c r="HP56" s="10"/>
      <c r="HV56" s="10"/>
      <c r="HW56" s="10"/>
      <c r="HX56" s="10"/>
      <c r="HY56" s="18"/>
      <c r="HZ56" s="10"/>
      <c r="IA56" s="53"/>
      <c r="IB56" s="53"/>
      <c r="IC56" s="10"/>
      <c r="ID56" s="10"/>
      <c r="IE56" s="10"/>
      <c r="IF56" s="10"/>
      <c r="IG56" s="10"/>
      <c r="IH56" s="10"/>
      <c r="II56" s="10"/>
      <c r="IJ56" s="10"/>
      <c r="IK56" s="10"/>
      <c r="IL56" s="10"/>
      <c r="IM56" s="10"/>
      <c r="IN56" s="10"/>
      <c r="IO56" s="10"/>
      <c r="IP56" s="10"/>
      <c r="IQ56" s="10"/>
      <c r="IR56" s="10"/>
      <c r="IS56" s="10"/>
      <c r="IT56" s="10"/>
      <c r="IU56" s="10"/>
      <c r="IV56" s="10"/>
    </row>
    <row r="57" spans="7:256" ht="12.75">
      <c r="G57" s="10">
        <f t="shared" si="21"/>
        <v>-3367504.4172465196</v>
      </c>
      <c r="H57" s="10">
        <f t="shared" si="21"/>
        <v>-2683523.489421157</v>
      </c>
      <c r="I57" s="18"/>
      <c r="J57" s="10">
        <f t="shared" si="19"/>
        <v>-69139.76096248413</v>
      </c>
      <c r="K57" s="53">
        <f t="shared" si="20"/>
        <v>0.00439453125</v>
      </c>
      <c r="L57" s="53">
        <f>Prob_up^1*Prob_down^5</f>
        <v>0.000732421875</v>
      </c>
      <c r="M57" s="10">
        <f>B52+C52+D53+E54+F55+G56+H57</f>
        <v>-12254064.157352565</v>
      </c>
      <c r="N57" s="10">
        <f>B52+C53+D53+E54+F55+G56+H57</f>
        <v>-14042756.121992636</v>
      </c>
      <c r="O57" s="10">
        <f>B52+C53+D54+E54+F55+G56+H57</f>
        <v>-15487823.460337808</v>
      </c>
      <c r="P57" s="10">
        <f>B52+C53+D54+E55+F55+G56+H57</f>
        <v>-16655279.709727397</v>
      </c>
      <c r="Q57" s="10">
        <f>B52+C53+D54+E55+F56+G56+H57</f>
        <v>-17598456.583269916</v>
      </c>
      <c r="R57" s="10">
        <f>B52+C53+D54+E55+F56+G57+H57</f>
        <v>-18360440.26809799</v>
      </c>
      <c r="S57" s="10"/>
      <c r="T57" s="10"/>
      <c r="U57" s="10"/>
      <c r="V57" s="10"/>
      <c r="W57" s="10"/>
      <c r="X57" s="10"/>
      <c r="Y57" s="10"/>
      <c r="Z57" s="10"/>
      <c r="AA57" s="10"/>
      <c r="AB57" s="10"/>
      <c r="AC57" s="10"/>
      <c r="AD57" s="10"/>
      <c r="AE57" s="10"/>
      <c r="AF57" s="10"/>
      <c r="AM57" s="10"/>
      <c r="AN57" s="10"/>
      <c r="AO57" s="18"/>
      <c r="AP57" s="10"/>
      <c r="AQ57" s="53"/>
      <c r="AR57" s="53"/>
      <c r="AS57" s="10"/>
      <c r="AT57" s="10"/>
      <c r="AU57" s="10"/>
      <c r="AV57" s="10"/>
      <c r="AW57" s="10"/>
      <c r="AX57" s="10"/>
      <c r="AY57" s="10"/>
      <c r="AZ57" s="10"/>
      <c r="BA57" s="10"/>
      <c r="BB57" s="10"/>
      <c r="BC57" s="10"/>
      <c r="BD57" s="10"/>
      <c r="BE57" s="10"/>
      <c r="BF57" s="10"/>
      <c r="BG57" s="10"/>
      <c r="BH57" s="10"/>
      <c r="BI57" s="10"/>
      <c r="BJ57" s="10"/>
      <c r="BK57" s="10"/>
      <c r="BL57" s="10"/>
      <c r="BS57" s="10"/>
      <c r="BT57" s="10"/>
      <c r="BU57" s="18"/>
      <c r="BV57" s="10"/>
      <c r="BW57" s="53"/>
      <c r="BX57" s="53"/>
      <c r="BY57" s="10"/>
      <c r="BZ57" s="10"/>
      <c r="CA57" s="10"/>
      <c r="CB57" s="10"/>
      <c r="CC57" s="10"/>
      <c r="CD57" s="10"/>
      <c r="CE57" s="10"/>
      <c r="CF57" s="10"/>
      <c r="CG57" s="10"/>
      <c r="CH57" s="10"/>
      <c r="CI57" s="10"/>
      <c r="CJ57" s="10"/>
      <c r="CK57" s="10"/>
      <c r="CL57" s="10"/>
      <c r="CM57" s="10"/>
      <c r="CN57" s="10"/>
      <c r="CO57" s="10"/>
      <c r="CP57" s="10"/>
      <c r="CQ57" s="10"/>
      <c r="CR57" s="10"/>
      <c r="CY57" s="10"/>
      <c r="CZ57" s="10"/>
      <c r="DA57" s="18"/>
      <c r="DB57" s="10"/>
      <c r="DC57" s="53"/>
      <c r="DD57" s="53"/>
      <c r="DE57" s="10"/>
      <c r="DF57" s="10"/>
      <c r="DG57" s="10"/>
      <c r="DH57" s="10"/>
      <c r="DI57" s="10"/>
      <c r="DJ57" s="10"/>
      <c r="DK57" s="10"/>
      <c r="DL57" s="10"/>
      <c r="DM57" s="10"/>
      <c r="DN57" s="10"/>
      <c r="DO57" s="10"/>
      <c r="DP57" s="10"/>
      <c r="DQ57" s="10"/>
      <c r="DR57" s="10"/>
      <c r="DS57" s="10"/>
      <c r="DT57" s="10"/>
      <c r="DU57" s="10"/>
      <c r="DV57" s="10"/>
      <c r="DW57" s="10"/>
      <c r="DX57" s="10"/>
      <c r="EE57" s="10"/>
      <c r="EF57" s="10"/>
      <c r="EG57" s="18"/>
      <c r="EH57" s="10"/>
      <c r="EI57" s="53"/>
      <c r="EJ57" s="53"/>
      <c r="EK57" s="10"/>
      <c r="EL57" s="10"/>
      <c r="EM57" s="10"/>
      <c r="EN57" s="10"/>
      <c r="EO57" s="10"/>
      <c r="EP57" s="10"/>
      <c r="EQ57" s="10"/>
      <c r="ER57" s="10"/>
      <c r="ES57" s="10"/>
      <c r="ET57" s="10"/>
      <c r="EU57" s="10"/>
      <c r="EV57" s="10"/>
      <c r="EW57" s="10"/>
      <c r="EX57" s="10"/>
      <c r="EY57" s="10"/>
      <c r="EZ57" s="10"/>
      <c r="FA57" s="10"/>
      <c r="FB57" s="10"/>
      <c r="FC57" s="10"/>
      <c r="FD57" s="10"/>
      <c r="FK57" s="10"/>
      <c r="FL57" s="10"/>
      <c r="FM57" s="18"/>
      <c r="FN57" s="10"/>
      <c r="FO57" s="53"/>
      <c r="FP57" s="53"/>
      <c r="FQ57" s="10"/>
      <c r="FR57" s="10"/>
      <c r="FS57" s="10"/>
      <c r="FT57" s="10"/>
      <c r="FU57" s="10"/>
      <c r="FV57" s="10"/>
      <c r="FW57" s="10"/>
      <c r="FX57" s="10"/>
      <c r="FY57" s="10"/>
      <c r="FZ57" s="10"/>
      <c r="GA57" s="10"/>
      <c r="GB57" s="10"/>
      <c r="GC57" s="10"/>
      <c r="GD57" s="10"/>
      <c r="GE57" s="10"/>
      <c r="GF57" s="10"/>
      <c r="GG57" s="10"/>
      <c r="GH57" s="10"/>
      <c r="GI57" s="10"/>
      <c r="GJ57" s="10"/>
      <c r="GQ57" s="10"/>
      <c r="GR57" s="10"/>
      <c r="GS57" s="18"/>
      <c r="GT57" s="10"/>
      <c r="GU57" s="53"/>
      <c r="GV57" s="53"/>
      <c r="GW57" s="10"/>
      <c r="GX57" s="10"/>
      <c r="GY57" s="10"/>
      <c r="GZ57" s="10"/>
      <c r="HA57" s="10"/>
      <c r="HB57" s="10"/>
      <c r="HC57" s="10"/>
      <c r="HD57" s="10"/>
      <c r="HE57" s="10"/>
      <c r="HF57" s="10"/>
      <c r="HG57" s="10"/>
      <c r="HH57" s="10"/>
      <c r="HI57" s="10"/>
      <c r="HJ57" s="10"/>
      <c r="HK57" s="10"/>
      <c r="HL57" s="10"/>
      <c r="HM57" s="10"/>
      <c r="HN57" s="10"/>
      <c r="HO57" s="10"/>
      <c r="HP57" s="10"/>
      <c r="HW57" s="10"/>
      <c r="HX57" s="10"/>
      <c r="HY57" s="18"/>
      <c r="HZ57" s="10"/>
      <c r="IA57" s="53"/>
      <c r="IB57" s="53"/>
      <c r="IC57" s="10"/>
      <c r="ID57" s="10"/>
      <c r="IE57" s="10"/>
      <c r="IF57" s="10"/>
      <c r="IG57" s="10"/>
      <c r="IH57" s="10"/>
      <c r="II57" s="10"/>
      <c r="IJ57" s="10"/>
      <c r="IK57" s="10"/>
      <c r="IL57" s="10"/>
      <c r="IM57" s="10"/>
      <c r="IN57" s="10"/>
      <c r="IO57" s="10"/>
      <c r="IP57" s="10"/>
      <c r="IQ57" s="10"/>
      <c r="IR57" s="10"/>
      <c r="IS57" s="10"/>
      <c r="IT57" s="10"/>
      <c r="IU57" s="10"/>
      <c r="IV57" s="10"/>
    </row>
    <row r="58" spans="8:256" ht="12.75">
      <c r="H58" s="10">
        <f t="shared" si="21"/>
        <v>-3299122.909033086</v>
      </c>
      <c r="I58" s="18"/>
      <c r="J58" s="10">
        <f t="shared" si="19"/>
        <v>-4632.822189382305</v>
      </c>
      <c r="K58" s="53">
        <f t="shared" si="20"/>
        <v>0.000244140625</v>
      </c>
      <c r="L58" s="53">
        <f>Prob_up^0*Prob_down^6</f>
        <v>0.000244140625</v>
      </c>
      <c r="M58" s="10">
        <f>B52+C53+D54+E55+F56+G57+H58</f>
        <v>-18976039.68770992</v>
      </c>
      <c r="N58" s="10"/>
      <c r="O58" s="10"/>
      <c r="P58" s="10"/>
      <c r="Q58" s="10"/>
      <c r="R58" s="10"/>
      <c r="S58" s="10"/>
      <c r="T58" s="10"/>
      <c r="U58" s="10"/>
      <c r="V58" s="10"/>
      <c r="W58" s="10"/>
      <c r="X58" s="10"/>
      <c r="Y58" s="10"/>
      <c r="Z58" s="10"/>
      <c r="AA58" s="10"/>
      <c r="AB58" s="10"/>
      <c r="AC58" s="10"/>
      <c r="AD58" s="10"/>
      <c r="AE58" s="10"/>
      <c r="AF58" s="10"/>
      <c r="AN58" s="10"/>
      <c r="AO58" s="18"/>
      <c r="AP58" s="10"/>
      <c r="AQ58" s="53"/>
      <c r="AR58" s="53"/>
      <c r="AS58" s="10"/>
      <c r="AT58" s="10"/>
      <c r="AU58" s="10"/>
      <c r="AV58" s="10"/>
      <c r="AW58" s="10"/>
      <c r="AX58" s="10"/>
      <c r="AY58" s="10"/>
      <c r="AZ58" s="10"/>
      <c r="BA58" s="10"/>
      <c r="BB58" s="10"/>
      <c r="BC58" s="10"/>
      <c r="BD58" s="10"/>
      <c r="BE58" s="10"/>
      <c r="BF58" s="10"/>
      <c r="BG58" s="10"/>
      <c r="BH58" s="10"/>
      <c r="BI58" s="10"/>
      <c r="BJ58" s="10"/>
      <c r="BK58" s="10"/>
      <c r="BL58" s="10"/>
      <c r="BT58" s="10"/>
      <c r="BU58" s="18"/>
      <c r="BV58" s="10"/>
      <c r="BW58" s="53"/>
      <c r="BX58" s="53"/>
      <c r="BY58" s="10"/>
      <c r="BZ58" s="10"/>
      <c r="CA58" s="10"/>
      <c r="CB58" s="10"/>
      <c r="CC58" s="10"/>
      <c r="CD58" s="10"/>
      <c r="CE58" s="10"/>
      <c r="CF58" s="10"/>
      <c r="CG58" s="10"/>
      <c r="CH58" s="10"/>
      <c r="CI58" s="10"/>
      <c r="CJ58" s="10"/>
      <c r="CK58" s="10"/>
      <c r="CL58" s="10"/>
      <c r="CM58" s="10"/>
      <c r="CN58" s="10"/>
      <c r="CO58" s="10"/>
      <c r="CP58" s="10"/>
      <c r="CQ58" s="10"/>
      <c r="CR58" s="10"/>
      <c r="CZ58" s="10"/>
      <c r="DA58" s="18"/>
      <c r="DB58" s="10"/>
      <c r="DC58" s="53"/>
      <c r="DD58" s="53"/>
      <c r="DE58" s="10"/>
      <c r="DF58" s="10"/>
      <c r="DG58" s="10"/>
      <c r="DH58" s="10"/>
      <c r="DI58" s="10"/>
      <c r="DJ58" s="10"/>
      <c r="DK58" s="10"/>
      <c r="DL58" s="10"/>
      <c r="DM58" s="10"/>
      <c r="DN58" s="10"/>
      <c r="DO58" s="10"/>
      <c r="DP58" s="10"/>
      <c r="DQ58" s="10"/>
      <c r="DR58" s="10"/>
      <c r="DS58" s="10"/>
      <c r="DT58" s="10"/>
      <c r="DU58" s="10"/>
      <c r="DV58" s="10"/>
      <c r="DW58" s="10"/>
      <c r="DX58" s="10"/>
      <c r="EF58" s="10"/>
      <c r="EG58" s="18"/>
      <c r="EH58" s="10"/>
      <c r="EI58" s="53"/>
      <c r="EJ58" s="53"/>
      <c r="EK58" s="10"/>
      <c r="EL58" s="10"/>
      <c r="EM58" s="10"/>
      <c r="EN58" s="10"/>
      <c r="EO58" s="10"/>
      <c r="EP58" s="10"/>
      <c r="EQ58" s="10"/>
      <c r="ER58" s="10"/>
      <c r="ES58" s="10"/>
      <c r="ET58" s="10"/>
      <c r="EU58" s="10"/>
      <c r="EV58" s="10"/>
      <c r="EW58" s="10"/>
      <c r="EX58" s="10"/>
      <c r="EY58" s="10"/>
      <c r="EZ58" s="10"/>
      <c r="FA58" s="10"/>
      <c r="FB58" s="10"/>
      <c r="FC58" s="10"/>
      <c r="FD58" s="10"/>
      <c r="FL58" s="10"/>
      <c r="FM58" s="18"/>
      <c r="FN58" s="10"/>
      <c r="FO58" s="53"/>
      <c r="FP58" s="53"/>
      <c r="FQ58" s="10"/>
      <c r="FR58" s="10"/>
      <c r="FS58" s="10"/>
      <c r="FT58" s="10"/>
      <c r="FU58" s="10"/>
      <c r="FV58" s="10"/>
      <c r="FW58" s="10"/>
      <c r="FX58" s="10"/>
      <c r="FY58" s="10"/>
      <c r="FZ58" s="10"/>
      <c r="GA58" s="10"/>
      <c r="GB58" s="10"/>
      <c r="GC58" s="10"/>
      <c r="GD58" s="10"/>
      <c r="GE58" s="10"/>
      <c r="GF58" s="10"/>
      <c r="GG58" s="10"/>
      <c r="GH58" s="10"/>
      <c r="GI58" s="10"/>
      <c r="GJ58" s="10"/>
      <c r="GR58" s="10"/>
      <c r="GS58" s="18"/>
      <c r="GT58" s="10"/>
      <c r="GU58" s="53"/>
      <c r="GV58" s="53"/>
      <c r="GW58" s="10"/>
      <c r="GX58" s="10"/>
      <c r="GY58" s="10"/>
      <c r="GZ58" s="10"/>
      <c r="HA58" s="10"/>
      <c r="HB58" s="10"/>
      <c r="HC58" s="10"/>
      <c r="HD58" s="10"/>
      <c r="HE58" s="10"/>
      <c r="HF58" s="10"/>
      <c r="HG58" s="10"/>
      <c r="HH58" s="10"/>
      <c r="HI58" s="10"/>
      <c r="HJ58" s="10"/>
      <c r="HK58" s="10"/>
      <c r="HL58" s="10"/>
      <c r="HM58" s="10"/>
      <c r="HN58" s="10"/>
      <c r="HO58" s="10"/>
      <c r="HP58" s="10"/>
      <c r="HX58" s="10"/>
      <c r="HY58" s="18"/>
      <c r="HZ58" s="10"/>
      <c r="IA58" s="53"/>
      <c r="IB58" s="53"/>
      <c r="IC58" s="10"/>
      <c r="ID58" s="10"/>
      <c r="IE58" s="10"/>
      <c r="IF58" s="10"/>
      <c r="IG58" s="10"/>
      <c r="IH58" s="10"/>
      <c r="II58" s="10"/>
      <c r="IJ58" s="10"/>
      <c r="IK58" s="10"/>
      <c r="IL58" s="10"/>
      <c r="IM58" s="10"/>
      <c r="IN58" s="10"/>
      <c r="IO58" s="10"/>
      <c r="IP58" s="10"/>
      <c r="IQ58" s="10"/>
      <c r="IR58" s="10"/>
      <c r="IS58" s="10"/>
      <c r="IT58" s="10"/>
      <c r="IU58" s="10"/>
      <c r="IV58" s="10"/>
    </row>
    <row r="59" spans="1:256" ht="12.75">
      <c r="A59" s="1"/>
      <c r="I59" s="18"/>
      <c r="J59" s="10">
        <f>SUM(J52:J58)</f>
        <v>-398111.61711099773</v>
      </c>
      <c r="K59" s="53">
        <f>SUM(K52:K58)</f>
        <v>1</v>
      </c>
      <c r="L59" s="10"/>
      <c r="M59" s="10"/>
      <c r="N59" s="10"/>
      <c r="O59" s="10"/>
      <c r="P59" s="10"/>
      <c r="Q59" s="10"/>
      <c r="R59" s="10"/>
      <c r="S59" s="10"/>
      <c r="T59" s="10"/>
      <c r="U59" s="10"/>
      <c r="V59" s="10"/>
      <c r="W59" s="10"/>
      <c r="X59" s="10"/>
      <c r="Y59" s="10"/>
      <c r="Z59" s="10"/>
      <c r="AA59" s="10"/>
      <c r="AB59" s="10"/>
      <c r="AC59" s="10"/>
      <c r="AD59" s="10"/>
      <c r="AE59" s="10"/>
      <c r="AF59" s="10"/>
      <c r="AG59" s="1"/>
      <c r="AO59" s="18"/>
      <c r="AP59" s="10"/>
      <c r="AQ59" s="53"/>
      <c r="AR59" s="10"/>
      <c r="AS59" s="10"/>
      <c r="AT59" s="10"/>
      <c r="AU59" s="10"/>
      <c r="AV59" s="10"/>
      <c r="AW59" s="10"/>
      <c r="AX59" s="10"/>
      <c r="AY59" s="10"/>
      <c r="AZ59" s="10"/>
      <c r="BA59" s="10"/>
      <c r="BB59" s="10"/>
      <c r="BC59" s="10"/>
      <c r="BD59" s="10"/>
      <c r="BE59" s="10"/>
      <c r="BF59" s="10"/>
      <c r="BG59" s="10"/>
      <c r="BH59" s="10"/>
      <c r="BI59" s="10"/>
      <c r="BJ59" s="10"/>
      <c r="BK59" s="10"/>
      <c r="BL59" s="10"/>
      <c r="BM59" s="1"/>
      <c r="BU59" s="18"/>
      <c r="BV59" s="10"/>
      <c r="BW59" s="53"/>
      <c r="BX59" s="10"/>
      <c r="BY59" s="10"/>
      <c r="BZ59" s="10"/>
      <c r="CA59" s="10"/>
      <c r="CB59" s="10"/>
      <c r="CC59" s="10"/>
      <c r="CD59" s="10"/>
      <c r="CE59" s="10"/>
      <c r="CF59" s="10"/>
      <c r="CG59" s="10"/>
      <c r="CH59" s="10"/>
      <c r="CI59" s="10"/>
      <c r="CJ59" s="10"/>
      <c r="CK59" s="10"/>
      <c r="CL59" s="10"/>
      <c r="CM59" s="10"/>
      <c r="CN59" s="10"/>
      <c r="CO59" s="10"/>
      <c r="CP59" s="10"/>
      <c r="CQ59" s="10"/>
      <c r="CR59" s="10"/>
      <c r="CS59" s="1"/>
      <c r="DA59" s="18"/>
      <c r="DB59" s="10"/>
      <c r="DC59" s="53"/>
      <c r="DD59" s="10"/>
      <c r="DE59" s="10"/>
      <c r="DF59" s="10"/>
      <c r="DG59" s="10"/>
      <c r="DH59" s="10"/>
      <c r="DI59" s="10"/>
      <c r="DJ59" s="10"/>
      <c r="DK59" s="10"/>
      <c r="DL59" s="10"/>
      <c r="DM59" s="10"/>
      <c r="DN59" s="10"/>
      <c r="DO59" s="10"/>
      <c r="DP59" s="10"/>
      <c r="DQ59" s="10"/>
      <c r="DR59" s="10"/>
      <c r="DS59" s="10"/>
      <c r="DT59" s="10"/>
      <c r="DU59" s="10"/>
      <c r="DV59" s="10"/>
      <c r="DW59" s="10"/>
      <c r="DX59" s="10"/>
      <c r="DY59" s="1"/>
      <c r="EG59" s="18"/>
      <c r="EH59" s="10"/>
      <c r="EI59" s="53"/>
      <c r="EJ59" s="10"/>
      <c r="EK59" s="10"/>
      <c r="EL59" s="10"/>
      <c r="EM59" s="10"/>
      <c r="EN59" s="10"/>
      <c r="EO59" s="10"/>
      <c r="EP59" s="10"/>
      <c r="EQ59" s="10"/>
      <c r="ER59" s="10"/>
      <c r="ES59" s="10"/>
      <c r="ET59" s="10"/>
      <c r="EU59" s="10"/>
      <c r="EV59" s="10"/>
      <c r="EW59" s="10"/>
      <c r="EX59" s="10"/>
      <c r="EY59" s="10"/>
      <c r="EZ59" s="10"/>
      <c r="FA59" s="10"/>
      <c r="FB59" s="10"/>
      <c r="FC59" s="10"/>
      <c r="FD59" s="10"/>
      <c r="FE59" s="1"/>
      <c r="FM59" s="18"/>
      <c r="FN59" s="10"/>
      <c r="FO59" s="53"/>
      <c r="FP59" s="10"/>
      <c r="FQ59" s="10"/>
      <c r="FR59" s="10"/>
      <c r="FS59" s="10"/>
      <c r="FT59" s="10"/>
      <c r="FU59" s="10"/>
      <c r="FV59" s="10"/>
      <c r="FW59" s="10"/>
      <c r="FX59" s="10"/>
      <c r="FY59" s="10"/>
      <c r="FZ59" s="10"/>
      <c r="GA59" s="10"/>
      <c r="GB59" s="10"/>
      <c r="GC59" s="10"/>
      <c r="GD59" s="10"/>
      <c r="GE59" s="10"/>
      <c r="GF59" s="10"/>
      <c r="GG59" s="10"/>
      <c r="GH59" s="10"/>
      <c r="GI59" s="10"/>
      <c r="GJ59" s="10"/>
      <c r="GK59" s="1"/>
      <c r="GS59" s="18"/>
      <c r="GT59" s="10"/>
      <c r="GU59" s="53"/>
      <c r="GV59" s="10"/>
      <c r="GW59" s="10"/>
      <c r="GX59" s="10"/>
      <c r="GY59" s="10"/>
      <c r="GZ59" s="10"/>
      <c r="HA59" s="10"/>
      <c r="HB59" s="10"/>
      <c r="HC59" s="10"/>
      <c r="HD59" s="10"/>
      <c r="HE59" s="10"/>
      <c r="HF59" s="10"/>
      <c r="HG59" s="10"/>
      <c r="HH59" s="10"/>
      <c r="HI59" s="10"/>
      <c r="HJ59" s="10"/>
      <c r="HK59" s="10"/>
      <c r="HL59" s="10"/>
      <c r="HM59" s="10"/>
      <c r="HN59" s="10"/>
      <c r="HO59" s="10"/>
      <c r="HP59" s="10"/>
      <c r="HQ59" s="1"/>
      <c r="HY59" s="18"/>
      <c r="HZ59" s="10"/>
      <c r="IA59" s="53"/>
      <c r="IB59" s="10"/>
      <c r="IC59" s="10"/>
      <c r="ID59" s="10"/>
      <c r="IE59" s="10"/>
      <c r="IF59" s="10"/>
      <c r="IG59" s="10"/>
      <c r="IH59" s="10"/>
      <c r="II59" s="10"/>
      <c r="IJ59" s="10"/>
      <c r="IK59" s="10"/>
      <c r="IL59" s="10"/>
      <c r="IM59" s="10"/>
      <c r="IN59" s="10"/>
      <c r="IO59" s="10"/>
      <c r="IP59" s="10"/>
      <c r="IQ59" s="10"/>
      <c r="IR59" s="10"/>
      <c r="IS59" s="10"/>
      <c r="IT59" s="10"/>
      <c r="IU59" s="10"/>
      <c r="IV59" s="10"/>
    </row>
    <row r="60" spans="9:12" ht="12.75">
      <c r="I60" s="18"/>
      <c r="J60" s="18"/>
      <c r="K60" s="18"/>
      <c r="L60" s="17"/>
    </row>
    <row r="61" spans="1:12" ht="12.75">
      <c r="A61" s="3" t="s">
        <v>9</v>
      </c>
      <c r="B61" s="10">
        <f aca="true" t="shared" si="22" ref="B61:L61">B39*B24</f>
        <v>0</v>
      </c>
      <c r="C61" s="10">
        <f t="shared" si="22"/>
        <v>-711218.1144326422</v>
      </c>
      <c r="D61" s="10">
        <f t="shared" si="22"/>
        <v>120390.51465095588</v>
      </c>
      <c r="E61" s="10">
        <f t="shared" si="22"/>
        <v>632216.8444612639</v>
      </c>
      <c r="F61" s="10">
        <f t="shared" si="22"/>
        <v>923351.5823805829</v>
      </c>
      <c r="G61" s="10">
        <f t="shared" si="22"/>
        <v>1064836.6091809692</v>
      </c>
      <c r="H61" s="10">
        <f t="shared" si="22"/>
        <v>1107237.8063590855</v>
      </c>
      <c r="I61" s="10">
        <f t="shared" si="22"/>
        <v>1086228.742210653</v>
      </c>
      <c r="J61" s="10">
        <f t="shared" si="22"/>
        <v>1026698.9184324777</v>
      </c>
      <c r="K61" s="10">
        <f t="shared" si="22"/>
        <v>945769.0443764597</v>
      </c>
      <c r="L61" s="10">
        <f t="shared" si="22"/>
        <v>854997.8608005357</v>
      </c>
    </row>
    <row r="62" spans="1:12" ht="12.75">
      <c r="A62" s="3" t="s">
        <v>10</v>
      </c>
      <c r="C62" s="10">
        <f aca="true" t="shared" si="23" ref="C62:L62">C40*C25</f>
        <v>-737906.4549101011</v>
      </c>
      <c r="D62" s="10">
        <f t="shared" si="23"/>
        <v>-750000</v>
      </c>
      <c r="E62" s="10">
        <f t="shared" si="23"/>
        <v>-400060.18936836126</v>
      </c>
      <c r="F62" s="10">
        <f t="shared" si="23"/>
        <v>90292.8859882169</v>
      </c>
      <c r="G62" s="10">
        <f t="shared" si="23"/>
        <v>592703.291682435</v>
      </c>
      <c r="H62" s="10">
        <f t="shared" si="23"/>
        <v>1038770.5301781558</v>
      </c>
      <c r="I62" s="10">
        <f t="shared" si="23"/>
        <v>1397598.049550022</v>
      </c>
      <c r="J62" s="10">
        <f t="shared" si="23"/>
        <v>1660856.7095386283</v>
      </c>
      <c r="K62" s="10">
        <f t="shared" si="23"/>
        <v>1833011.0024804766</v>
      </c>
      <c r="L62" s="10">
        <f t="shared" si="23"/>
        <v>1925060.4720608958</v>
      </c>
    </row>
    <row r="63" spans="1:12" ht="12.75">
      <c r="A63" s="3" t="s">
        <v>49</v>
      </c>
      <c r="D63" s="10">
        <f aca="true" t="shared" si="24" ref="D63:L63">D41*D26</f>
        <v>-238293.27932626134</v>
      </c>
      <c r="E63" s="10">
        <f t="shared" si="24"/>
        <v>-415072.3808869319</v>
      </c>
      <c r="F63" s="10">
        <f t="shared" si="24"/>
        <v>-421875</v>
      </c>
      <c r="G63" s="10">
        <f t="shared" si="24"/>
        <v>-250037.61835522577</v>
      </c>
      <c r="H63" s="10">
        <f t="shared" si="24"/>
        <v>63487.185460465014</v>
      </c>
      <c r="I63" s="10">
        <f t="shared" si="24"/>
        <v>466753.8421999175</v>
      </c>
      <c r="J63" s="10">
        <f t="shared" si="24"/>
        <v>908924.2139058863</v>
      </c>
      <c r="K63" s="10">
        <f t="shared" si="24"/>
        <v>1347683.8334946642</v>
      </c>
      <c r="L63" s="10">
        <f t="shared" si="24"/>
        <v>1751684.810841522</v>
      </c>
    </row>
    <row r="64" spans="5:12" ht="12.75">
      <c r="E64" s="10">
        <f aca="true" t="shared" si="25" ref="E64:L64">E42*E27</f>
        <v>-71747.1530184816</v>
      </c>
      <c r="F64" s="10">
        <f t="shared" si="25"/>
        <v>-178719.959494696</v>
      </c>
      <c r="G64" s="10">
        <f t="shared" si="25"/>
        <v>-259420.23805433244</v>
      </c>
      <c r="H64" s="10">
        <f t="shared" si="25"/>
        <v>-263671.875</v>
      </c>
      <c r="I64" s="10">
        <f t="shared" si="25"/>
        <v>-164087.1870456169</v>
      </c>
      <c r="J64" s="10">
        <f t="shared" si="25"/>
        <v>44441.02982232551</v>
      </c>
      <c r="K64" s="10">
        <f t="shared" si="25"/>
        <v>350065.3816499381</v>
      </c>
      <c r="L64" s="10">
        <f t="shared" si="25"/>
        <v>730385.5290315158</v>
      </c>
    </row>
    <row r="65" spans="6:12" ht="12.75">
      <c r="F65" s="10">
        <f aca="true" t="shared" si="26" ref="F65:L65">F43*F28</f>
        <v>-20690.623201732844</v>
      </c>
      <c r="G65" s="10">
        <f t="shared" si="26"/>
        <v>-67262.9559548265</v>
      </c>
      <c r="H65" s="10">
        <f t="shared" si="26"/>
        <v>-125662.47151970812</v>
      </c>
      <c r="I65" s="10">
        <f t="shared" si="26"/>
        <v>-170244.53122315565</v>
      </c>
      <c r="J65" s="10">
        <f t="shared" si="26"/>
        <v>-173034.66796875</v>
      </c>
      <c r="K65" s="10">
        <f t="shared" si="26"/>
        <v>-110758.85125579142</v>
      </c>
      <c r="L65" s="10">
        <f t="shared" si="26"/>
        <v>31247.599093822624</v>
      </c>
    </row>
    <row r="66" spans="7:12" ht="12.75">
      <c r="G66" s="10">
        <f aca="true" t="shared" si="27" ref="G66:L66">G44*G29</f>
        <v>-5795.599026243816</v>
      </c>
      <c r="H66" s="10">
        <f t="shared" si="27"/>
        <v>-23276.95110194945</v>
      </c>
      <c r="I66" s="10">
        <f t="shared" si="27"/>
        <v>-52969.577814425866</v>
      </c>
      <c r="J66" s="10">
        <f t="shared" si="27"/>
        <v>-87963.7300637957</v>
      </c>
      <c r="K66" s="10">
        <f t="shared" si="27"/>
        <v>-114915.05857563007</v>
      </c>
      <c r="L66" s="10">
        <f t="shared" si="27"/>
        <v>-116798.40087890625</v>
      </c>
    </row>
    <row r="67" spans="8:12" ht="12.75">
      <c r="H67" s="10">
        <f>H45*H30</f>
        <v>-1589.815341567319</v>
      </c>
      <c r="I67" s="10">
        <f>I45*I30</f>
        <v>-7606.723721945009</v>
      </c>
      <c r="J67" s="10">
        <f>J45*J30</f>
        <v>-20367.33221420577</v>
      </c>
      <c r="K67" s="10">
        <f>K45*K30</f>
        <v>-39727.1833608194</v>
      </c>
      <c r="L67" s="10">
        <f>L45*L30</f>
        <v>-61849.497701106346</v>
      </c>
    </row>
    <row r="68" spans="9:12" ht="12.75">
      <c r="I68" s="10">
        <f>I46*I31</f>
        <v>-429.3302589163762</v>
      </c>
      <c r="J68" s="10">
        <f>J46*J31</f>
        <v>-2384.7230123509785</v>
      </c>
      <c r="K68" s="10">
        <f>K46*K31</f>
        <v>-7335.05501758983</v>
      </c>
      <c r="L68" s="10">
        <f>L46*L31</f>
        <v>-16366.606243558206</v>
      </c>
    </row>
    <row r="69" spans="9:12" ht="12.75">
      <c r="I69" s="18"/>
      <c r="J69" s="10">
        <f>J47*J32</f>
        <v>-114.54330991863687</v>
      </c>
      <c r="K69" s="10">
        <f>K47*K32</f>
        <v>-724.4948119213848</v>
      </c>
      <c r="L69" s="10">
        <f>L47*L32</f>
        <v>-2515.1375520889223</v>
      </c>
    </row>
    <row r="70" spans="9:12" ht="12.75">
      <c r="I70" s="18"/>
      <c r="J70" s="18"/>
      <c r="K70" s="10">
        <f>K48*K33</f>
        <v>-30.266965494514512</v>
      </c>
      <c r="L70" s="10">
        <f>L48*L33</f>
        <v>-214.76870609744412</v>
      </c>
    </row>
    <row r="71" spans="9:12" ht="12.75">
      <c r="I71" s="18"/>
      <c r="J71" s="18"/>
      <c r="K71" s="18"/>
      <c r="L71" s="10">
        <f>L49*L34</f>
        <v>-7.935720051084117</v>
      </c>
    </row>
    <row r="72" spans="9:12" ht="12.75">
      <c r="I72" s="18"/>
      <c r="J72" s="18"/>
      <c r="K72" s="18"/>
      <c r="L72" s="10"/>
    </row>
    <row r="73" spans="2:12" ht="12.75">
      <c r="B73" s="1">
        <v>0</v>
      </c>
      <c r="C73" s="12">
        <v>1</v>
      </c>
      <c r="D73" s="1">
        <v>2</v>
      </c>
      <c r="E73" s="12">
        <v>3</v>
      </c>
      <c r="F73" s="1">
        <v>4</v>
      </c>
      <c r="G73" s="12">
        <v>5</v>
      </c>
      <c r="H73" s="1">
        <v>6</v>
      </c>
      <c r="I73" s="12">
        <v>7</v>
      </c>
      <c r="J73" s="1">
        <v>8</v>
      </c>
      <c r="K73" s="12">
        <v>9</v>
      </c>
      <c r="L73" s="1">
        <v>10</v>
      </c>
    </row>
    <row r="74" spans="1:12" ht="12.75">
      <c r="A74" t="s">
        <v>50</v>
      </c>
      <c r="B74" s="1"/>
      <c r="C74" s="39">
        <f aca="true" t="shared" si="28" ref="C74:L74">SUM(C61:C71)</f>
        <v>-1449124.5693427434</v>
      </c>
      <c r="D74" s="39">
        <f t="shared" si="28"/>
        <v>-867902.7646753055</v>
      </c>
      <c r="E74" s="39">
        <f t="shared" si="28"/>
        <v>-254662.8788125109</v>
      </c>
      <c r="F74" s="39">
        <f t="shared" si="28"/>
        <v>392358.885672371</v>
      </c>
      <c r="G74" s="39">
        <f t="shared" si="28"/>
        <v>1075023.4894727755</v>
      </c>
      <c r="H74" s="39">
        <f t="shared" si="28"/>
        <v>1795294.409034481</v>
      </c>
      <c r="I74" s="39">
        <f t="shared" si="28"/>
        <v>2555243.283896532</v>
      </c>
      <c r="J74" s="39">
        <f t="shared" si="28"/>
        <v>3357055.8751302967</v>
      </c>
      <c r="K74" s="39">
        <f t="shared" si="28"/>
        <v>4203038.352014292</v>
      </c>
      <c r="L74" s="39">
        <f t="shared" si="28"/>
        <v>5095623.925026484</v>
      </c>
    </row>
    <row r="75" spans="1:12" ht="12.75">
      <c r="A75" t="s">
        <v>51</v>
      </c>
      <c r="B75" s="1"/>
      <c r="C75" s="40">
        <f aca="true" t="shared" si="29" ref="C75:L75">C74/(1+$H$6)^C73</f>
        <v>-1293861.2226274493</v>
      </c>
      <c r="D75" s="41">
        <f t="shared" si="29"/>
        <v>-691886.7703087574</v>
      </c>
      <c r="E75" s="41">
        <f t="shared" si="29"/>
        <v>-181264.00699004563</v>
      </c>
      <c r="F75" s="41">
        <f t="shared" si="29"/>
        <v>249351.16506756606</v>
      </c>
      <c r="G75" s="41">
        <f t="shared" si="29"/>
        <v>609997.1984551736</v>
      </c>
      <c r="H75" s="42">
        <f t="shared" si="29"/>
        <v>909552.0192925144</v>
      </c>
      <c r="I75" s="39">
        <f t="shared" si="29"/>
        <v>1155862.2944654631</v>
      </c>
      <c r="J75" s="39">
        <f t="shared" si="29"/>
        <v>1355858.5633547301</v>
      </c>
      <c r="K75" s="39">
        <f t="shared" si="29"/>
        <v>1515657.7651184108</v>
      </c>
      <c r="L75" s="39">
        <f t="shared" si="29"/>
        <v>1640654.527589763</v>
      </c>
    </row>
    <row r="76" spans="1:12" ht="12.75">
      <c r="A76" t="s">
        <v>43</v>
      </c>
      <c r="B76" s="19">
        <f>SUM(C75:H75)</f>
        <v>-398111.61711099825</v>
      </c>
      <c r="C76" s="12"/>
      <c r="D76" s="39"/>
      <c r="E76" s="39"/>
      <c r="F76" s="39"/>
      <c r="G76" s="39"/>
      <c r="H76" s="39"/>
      <c r="I76" s="39"/>
      <c r="J76" s="39"/>
      <c r="K76" s="39"/>
      <c r="L76" s="39"/>
    </row>
    <row r="77" spans="1:12" ht="12.75">
      <c r="A77" t="s">
        <v>44</v>
      </c>
      <c r="B77" s="13">
        <f>SUM(C75:L75)</f>
        <v>5269921.533417368</v>
      </c>
      <c r="C77" s="12"/>
      <c r="D77" s="1"/>
      <c r="E77" s="39"/>
      <c r="F77" s="39"/>
      <c r="G77" s="39"/>
      <c r="H77" s="39"/>
      <c r="I77" s="39"/>
      <c r="J77" s="39"/>
      <c r="K77" s="39"/>
      <c r="L77" s="39"/>
    </row>
    <row r="78" spans="9:12" ht="12.75">
      <c r="I78" s="18"/>
      <c r="J78" s="39"/>
      <c r="K78" s="39"/>
      <c r="L78" s="17"/>
    </row>
    <row r="79" spans="1:12" ht="12.75" outlineLevel="1">
      <c r="A79" s="44" t="s">
        <v>52</v>
      </c>
      <c r="B79" s="10">
        <f aca="true" t="shared" si="30" ref="B79:G79">(Prob_up*C79+Prob_down*C80)/(1+$H$6)+B39</f>
        <v>-398111.6171109976</v>
      </c>
      <c r="C79" s="10">
        <f t="shared" si="30"/>
        <v>2155928.831072717</v>
      </c>
      <c r="D79" s="10">
        <f t="shared" si="30"/>
        <v>5941521.62275848</v>
      </c>
      <c r="E79" s="10">
        <f t="shared" si="30"/>
        <v>8657049.723521806</v>
      </c>
      <c r="F79" s="10">
        <f t="shared" si="30"/>
        <v>9930365.062585678</v>
      </c>
      <c r="G79" s="10">
        <f t="shared" si="30"/>
        <v>9304581.231136996</v>
      </c>
      <c r="H79" s="10">
        <f aca="true" t="shared" si="31" ref="H79:H85">H39</f>
        <v>6221188.003905095</v>
      </c>
      <c r="I79" s="43"/>
      <c r="J79" s="17"/>
      <c r="K79" s="17"/>
      <c r="L79" s="17"/>
    </row>
    <row r="80" spans="1:12" ht="12.75" outlineLevel="1">
      <c r="A80" s="3" t="s">
        <v>37</v>
      </c>
      <c r="C80" s="10">
        <f>(Prob_up*D80+Prob_down*D81)/(1+$H$6)+C40</f>
        <v>-8251326.53787542</v>
      </c>
      <c r="D80" s="10">
        <f>(Prob_up*E80+Prob_down*E81)/(1+$H$6)+D40</f>
        <v>-3917660.834858686</v>
      </c>
      <c r="E80" s="10">
        <f>(Prob_up*F80+Prob_down*F81)/(1+$H$6)+E40</f>
        <v>-311975.86618304334</v>
      </c>
      <c r="F80" s="10">
        <f>(Prob_up*G80+Prob_down*G81)/(1+$H$6)+F40</f>
        <v>2278812.9942157185</v>
      </c>
      <c r="G80" s="10">
        <f>(Prob_up*H80+Prob_down*H81)/(1+$H$6)+G40</f>
        <v>3500545.3326439215</v>
      </c>
      <c r="H80" s="10">
        <f t="shared" si="31"/>
        <v>2918246.9764127065</v>
      </c>
      <c r="I80" s="43"/>
      <c r="J80" s="17"/>
      <c r="K80" s="17"/>
      <c r="L80" s="17"/>
    </row>
    <row r="81" spans="1:12" ht="12.75" outlineLevel="1">
      <c r="A81" s="3" t="s">
        <v>58</v>
      </c>
      <c r="C81" s="10"/>
      <c r="D81" s="10">
        <f>(Prob_up*E81+Prob_down*E82)/(1+$H$6)+D41</f>
        <v>-11989676.713116813</v>
      </c>
      <c r="E81" s="10">
        <f>(Prob_up*F81+Prob_down*F82)/(1+$H$6)+E41</f>
        <v>-7655192.941617785</v>
      </c>
      <c r="F81" s="10">
        <f>(Prob_up*G81+Prob_down*G82)/(1+$H$6)+F41</f>
        <v>-3985747.9929362065</v>
      </c>
      <c r="G81" s="10">
        <f>(Prob_up*H81+Prob_down*H82)/(1+$H$6)+G41</f>
        <v>-1251397.3494209563</v>
      </c>
      <c r="H81" s="10">
        <f t="shared" si="31"/>
        <v>214027.58160169935</v>
      </c>
      <c r="I81" s="43"/>
      <c r="J81" s="17"/>
      <c r="K81" s="17"/>
      <c r="L81" s="17"/>
    </row>
    <row r="82" spans="1:12" ht="12.75" outlineLevel="1">
      <c r="A82" t="s">
        <v>38</v>
      </c>
      <c r="C82" s="10"/>
      <c r="D82" s="10"/>
      <c r="E82" s="10">
        <f>(Prob_up*F82+Prob_down*F83)/(1+$H$6)+E42</f>
        <v>-13667310.587803565</v>
      </c>
      <c r="F82" s="10">
        <f>(Prob_up*G82+Prob_down*G83)/(1+$H$6)+F42</f>
        <v>-9114736.727650046</v>
      </c>
      <c r="G82" s="10">
        <f>(Prob_up*H82+Prob_down*H83)/(1+$H$6)+G42</f>
        <v>-5141958.960091338</v>
      </c>
      <c r="H82" s="10">
        <f t="shared" si="31"/>
        <v>-2000000</v>
      </c>
      <c r="I82" s="43"/>
      <c r="J82" s="17"/>
      <c r="K82" s="17"/>
      <c r="L82" s="17"/>
    </row>
    <row r="83" spans="1:12" ht="12.75" outlineLevel="1">
      <c r="A83" t="s">
        <v>39</v>
      </c>
      <c r="C83" s="10"/>
      <c r="D83" s="10"/>
      <c r="E83" s="10"/>
      <c r="F83" s="10">
        <f>(Prob_up*G83+Prob_down*G84)/(1+$H$6)+F43</f>
        <v>-13313997.536950797</v>
      </c>
      <c r="G83" s="10">
        <f>(Prob_up*H83+Prob_down*H84)/(1+$H$6)+G43</f>
        <v>-8327281.397491785</v>
      </c>
      <c r="H83" s="10">
        <f t="shared" si="31"/>
        <v>-3812692.4692201815</v>
      </c>
      <c r="I83" s="43"/>
      <c r="J83" s="17"/>
      <c r="K83" s="17"/>
      <c r="L83" s="17"/>
    </row>
    <row r="84" spans="1:12" ht="12.75" outlineLevel="1">
      <c r="A84" t="s">
        <v>32</v>
      </c>
      <c r="C84" s="10"/>
      <c r="D84" s="10"/>
      <c r="E84" s="10"/>
      <c r="F84" s="10"/>
      <c r="G84" s="10">
        <f>(Prob_up*H84+Prob_down*H85)/(1+$H$6)+G44</f>
        <v>-10935202.835460845</v>
      </c>
      <c r="H84" s="10">
        <f t="shared" si="31"/>
        <v>-5296799.539643608</v>
      </c>
      <c r="I84" s="43"/>
      <c r="J84" s="17"/>
      <c r="K84" s="17"/>
      <c r="L84" s="17"/>
    </row>
    <row r="85" spans="3:12" ht="12.75" outlineLevel="1">
      <c r="C85" s="10"/>
      <c r="D85" s="10"/>
      <c r="E85" s="10"/>
      <c r="F85" s="10"/>
      <c r="G85" s="10"/>
      <c r="H85" s="10">
        <f t="shared" si="31"/>
        <v>-6511883.639059738</v>
      </c>
      <c r="I85" s="43"/>
      <c r="J85" s="17"/>
      <c r="K85" s="17"/>
      <c r="L85" s="17"/>
    </row>
    <row r="86" spans="3:26" ht="12.75" outlineLevel="1">
      <c r="C86" s="10"/>
      <c r="D86" s="10"/>
      <c r="E86" s="10"/>
      <c r="F86" s="10"/>
      <c r="G86" s="10"/>
      <c r="H86" s="10"/>
      <c r="I86" s="43"/>
      <c r="J86" s="17"/>
      <c r="K86" s="1"/>
      <c r="L86" s="1"/>
      <c r="M86" s="1"/>
      <c r="N86" s="1"/>
      <c r="O86" s="1"/>
      <c r="P86" s="1"/>
      <c r="Q86" s="1"/>
      <c r="R86" s="1"/>
      <c r="T86" s="1"/>
      <c r="U86" s="1"/>
      <c r="V86" s="1"/>
      <c r="W86" s="1"/>
      <c r="X86" s="1"/>
      <c r="Y86" s="1"/>
      <c r="Z86" s="1"/>
    </row>
    <row r="87" spans="1:18" ht="12.75" outlineLevel="1">
      <c r="A87" s="3" t="s">
        <v>49</v>
      </c>
      <c r="B87" s="38">
        <v>0</v>
      </c>
      <c r="C87" s="38">
        <f aca="true" t="shared" si="32" ref="C87:H88">$L$5+$I$5*(C11-$M$6)</f>
        <v>-2517265.310789637</v>
      </c>
      <c r="D87" s="38">
        <f t="shared" si="32"/>
        <v>-657555.8694372813</v>
      </c>
      <c r="E87" s="38">
        <f t="shared" si="32"/>
        <v>1397740.921216053</v>
      </c>
      <c r="F87" s="38">
        <f t="shared" si="32"/>
        <v>3669195.1622603303</v>
      </c>
      <c r="G87" s="38">
        <f t="shared" si="32"/>
        <v>6179540.331202057</v>
      </c>
      <c r="H87" s="38">
        <f t="shared" si="32"/>
        <v>8953900.80624815</v>
      </c>
      <c r="I87" s="17"/>
      <c r="J87" s="17"/>
      <c r="K87" s="38"/>
      <c r="L87" s="38"/>
      <c r="M87" s="38"/>
      <c r="N87" s="52"/>
      <c r="O87" s="38"/>
      <c r="P87" s="52"/>
      <c r="Q87" s="38"/>
      <c r="R87" s="38"/>
    </row>
    <row r="88" spans="1:18" ht="12.75" outlineLevel="1">
      <c r="A88" s="3" t="s">
        <v>59</v>
      </c>
      <c r="C88" s="38">
        <f t="shared" si="32"/>
        <v>-5722601.311424647</v>
      </c>
      <c r="D88" s="38">
        <f t="shared" si="32"/>
        <v>-4200000</v>
      </c>
      <c r="E88" s="38">
        <f t="shared" si="32"/>
        <v>-2517265.310789637</v>
      </c>
      <c r="F88" s="38">
        <f t="shared" si="32"/>
        <v>-657555.8694372813</v>
      </c>
      <c r="G88" s="38">
        <f t="shared" si="32"/>
        <v>1397740.921216053</v>
      </c>
      <c r="H88" s="38">
        <f t="shared" si="32"/>
        <v>3669195.1622603303</v>
      </c>
      <c r="I88" s="17"/>
      <c r="J88" s="17"/>
      <c r="K88" s="38"/>
      <c r="L88" s="38"/>
      <c r="M88" s="38"/>
      <c r="N88" s="52"/>
      <c r="O88" s="38"/>
      <c r="P88" s="52"/>
      <c r="Q88" s="38"/>
      <c r="R88" s="38"/>
    </row>
    <row r="89" spans="1:16" ht="12.75" outlineLevel="1">
      <c r="A89" t="s">
        <v>40</v>
      </c>
      <c r="D89" s="38">
        <f>$L$5+$I$5*(D13-$M$6)</f>
        <v>-7100307.950752291</v>
      </c>
      <c r="E89" s="38">
        <f>$L$5+$I$5*(E13-$M$6)</f>
        <v>-5722601.311424647</v>
      </c>
      <c r="F89" s="38">
        <f>$L$5+$I$5*(F13-$M$6)</f>
        <v>-4200000</v>
      </c>
      <c r="G89" s="38">
        <f>$L$5+$I$5*(G13-$M$6)</f>
        <v>-2517265.310789637</v>
      </c>
      <c r="H89" s="38">
        <f>$L$5+$I$5*(H13-$M$6)</f>
        <v>-657555.8694372813</v>
      </c>
      <c r="I89" s="17"/>
      <c r="J89" s="17"/>
      <c r="K89" s="17"/>
      <c r="L89" s="17"/>
      <c r="O89" s="38"/>
      <c r="P89" s="52"/>
    </row>
    <row r="90" spans="1:16" ht="12.75" outlineLevel="1">
      <c r="A90" t="s">
        <v>39</v>
      </c>
      <c r="E90" s="38">
        <f>$L$5+$I$5*(E14-$M$6)</f>
        <v>-8346908.469092515</v>
      </c>
      <c r="F90" s="38">
        <f>$L$5+$I$5*(F14-$M$6)</f>
        <v>-7100307.950752291</v>
      </c>
      <c r="G90" s="38">
        <f>$L$5+$I$5*(G14-$M$6)</f>
        <v>-5722601.311424647</v>
      </c>
      <c r="H90" s="38">
        <f>$L$5+$I$5*(H14-$M$6)</f>
        <v>-4200000</v>
      </c>
      <c r="I90" s="17"/>
      <c r="J90" s="17"/>
      <c r="K90" s="17"/>
      <c r="L90" s="17"/>
      <c r="O90" s="38"/>
      <c r="P90" s="52"/>
    </row>
    <row r="91" spans="1:14" ht="12.75" outlineLevel="1">
      <c r="A91" t="s">
        <v>31</v>
      </c>
      <c r="F91" s="38">
        <f>$L$5+$I$5*(F15-$M$6)</f>
        <v>-9474879.263429774</v>
      </c>
      <c r="G91" s="38">
        <f>$L$5+$I$5*(G15-$M$6)</f>
        <v>-8346908.469092515</v>
      </c>
      <c r="H91" s="38">
        <f>$L$5+$I$5*(H15-$M$6)</f>
        <v>-7100307.950752291</v>
      </c>
      <c r="I91" s="43"/>
      <c r="J91" s="17"/>
      <c r="K91" s="17"/>
      <c r="L91" s="17"/>
      <c r="N91" s="53"/>
    </row>
    <row r="92" spans="7:12" ht="12.75" outlineLevel="1">
      <c r="G92" s="38">
        <f>$L$5+$I$5*(G16-$M$6)</f>
        <v>-10495509.444597868</v>
      </c>
      <c r="H92" s="38">
        <f>$L$5+$I$5*(H16-$M$6)</f>
        <v>-9474879.263429774</v>
      </c>
      <c r="I92" s="43"/>
      <c r="J92" s="17"/>
      <c r="K92" s="17"/>
      <c r="L92" s="17"/>
    </row>
    <row r="93" spans="8:12" ht="12.75" outlineLevel="1">
      <c r="H93" s="38">
        <f>$L$5+$I$5*(H17-$M$6)</f>
        <v>-11419013.822495582</v>
      </c>
      <c r="I93" s="43"/>
      <c r="J93" s="17"/>
      <c r="K93" s="17"/>
      <c r="L93" s="17"/>
    </row>
    <row r="94" spans="8:12" ht="12.75" outlineLevel="1">
      <c r="H94" s="10"/>
      <c r="I94" s="43"/>
      <c r="J94" s="17"/>
      <c r="K94" s="17"/>
      <c r="L94" s="17"/>
    </row>
    <row r="95" spans="1:12" ht="12.75" outlineLevel="1">
      <c r="A95" s="44" t="s">
        <v>52</v>
      </c>
      <c r="B95" s="10">
        <f aca="true" t="shared" si="33" ref="B95:G95">(Prob_up*C95+Prob_down*C96)/(1+$H$6)+B87</f>
        <v>-4748385.910899921</v>
      </c>
      <c r="C95" s="10">
        <f t="shared" si="33"/>
        <v>-1155290.0726286578</v>
      </c>
      <c r="D95" s="10">
        <f t="shared" si="33"/>
        <v>5469085.249787163</v>
      </c>
      <c r="E95" s="10">
        <f t="shared" si="33"/>
        <v>10449448.289413318</v>
      </c>
      <c r="F95" s="10">
        <f t="shared" si="33"/>
        <v>13198533.07972892</v>
      </c>
      <c r="G95" s="10">
        <f t="shared" si="33"/>
        <v>12994472.826962054</v>
      </c>
      <c r="H95" s="10">
        <f aca="true" t="shared" si="34" ref="H95:H101">H87</f>
        <v>8953900.80624815</v>
      </c>
      <c r="I95" s="43"/>
      <c r="J95" s="17"/>
      <c r="K95" s="17"/>
      <c r="L95" s="17"/>
    </row>
    <row r="96" spans="1:12" ht="12.75" outlineLevel="1">
      <c r="A96" s="3" t="s">
        <v>59</v>
      </c>
      <c r="C96" s="10">
        <f>(Prob_up*D96+Prob_down*D97)/(1+$H$6)+C88</f>
        <v>-17806898.662945677</v>
      </c>
      <c r="D96" s="10">
        <f>(Prob_up*E96+Prob_down*E97)/(1+$H$6)+D88</f>
        <v>-10305606.682400303</v>
      </c>
      <c r="E96" s="10">
        <f>(Prob_up*F96+Prob_down*F97)/(1+$H$6)+E88</f>
        <v>-3900992.654114444</v>
      </c>
      <c r="F96" s="10">
        <f>(Prob_up*G96+Prob_down*G97)/(1+$H$6)+F88</f>
        <v>956049.770336986</v>
      </c>
      <c r="G96" s="10">
        <f>(Prob_up*H96+Prob_down*H97)/(1+$H$6)+G88</f>
        <v>3708015.3893731306</v>
      </c>
      <c r="H96" s="10">
        <f t="shared" si="34"/>
        <v>3669195.1622603303</v>
      </c>
      <c r="I96" s="43"/>
      <c r="J96" s="17"/>
      <c r="K96" s="17"/>
      <c r="L96" s="17"/>
    </row>
    <row r="97" spans="1:12" ht="12.75" outlineLevel="1">
      <c r="A97" t="s">
        <v>38</v>
      </c>
      <c r="C97" s="10"/>
      <c r="D97" s="10">
        <f>(Prob_up*E97+Prob_down*E98)/(1+$H$6)+D89</f>
        <v>-23220832.08761331</v>
      </c>
      <c r="E97" s="10">
        <f>(Prob_up*F97+Prob_down*F98)/(1+$H$6)+E89</f>
        <v>-15650139.97481003</v>
      </c>
      <c r="F97" s="10">
        <f>(Prob_up*G97+Prob_down*G98)/(1+$H$6)+F89</f>
        <v>-9067247.809106095</v>
      </c>
      <c r="G97" s="10">
        <f>(Prob_up*H97+Prob_down*H98)/(1+$H$6)+G89</f>
        <v>-3895092.901930673</v>
      </c>
      <c r="H97" s="10">
        <f t="shared" si="34"/>
        <v>-657555.8694372813</v>
      </c>
      <c r="I97" s="43"/>
      <c r="J97" s="17"/>
      <c r="K97" s="17"/>
      <c r="L97" s="17"/>
    </row>
    <row r="98" spans="1:12" ht="12.75" outlineLevel="1">
      <c r="A98" t="s">
        <v>39</v>
      </c>
      <c r="C98" s="10"/>
      <c r="D98" s="10"/>
      <c r="E98" s="10">
        <f>(Prob_up*F98+Prob_down*F99)/(1+$H$6)+E90</f>
        <v>-25269528.20870728</v>
      </c>
      <c r="F98" s="10">
        <f>(Prob_up*G98+Prob_down*G99)/(1+$H$6)+F90</f>
        <v>-17273629.78464824</v>
      </c>
      <c r="G98" s="10">
        <f>(Prob_up*H98+Prob_down*H99)/(1+$H$6)+G90</f>
        <v>-10119991.479003284</v>
      </c>
      <c r="H98" s="10">
        <f t="shared" si="34"/>
        <v>-4200000</v>
      </c>
      <c r="I98" s="43"/>
      <c r="J98" s="17"/>
      <c r="K98" s="17"/>
      <c r="L98" s="17"/>
    </row>
    <row r="99" spans="1:12" ht="12.75" outlineLevel="1">
      <c r="A99" t="s">
        <v>32</v>
      </c>
      <c r="C99" s="10"/>
      <c r="D99" s="10"/>
      <c r="E99" s="10"/>
      <c r="F99" s="10">
        <f>(Prob_up*G99+Prob_down*G100)/(1+$H$6)+F91</f>
        <v>-23992447.079529434</v>
      </c>
      <c r="G99" s="10">
        <f>(Prob_up*H99+Prob_down*H100)/(1+$H$6)+G91</f>
        <v>-15216507.378843999</v>
      </c>
      <c r="H99" s="10">
        <f t="shared" si="34"/>
        <v>-7100307.950752291</v>
      </c>
      <c r="I99" s="43"/>
      <c r="J99" s="17"/>
      <c r="K99" s="17"/>
      <c r="L99" s="17"/>
    </row>
    <row r="100" spans="3:12" ht="12.75" outlineLevel="1">
      <c r="C100" s="10"/>
      <c r="D100" s="10"/>
      <c r="E100" s="10"/>
      <c r="F100" s="10"/>
      <c r="G100" s="10">
        <f>(Prob_up*H100+Prob_down*H101)/(1+$H$6)+G92</f>
        <v>-19389181.679594494</v>
      </c>
      <c r="H100" s="10">
        <f t="shared" si="34"/>
        <v>-9474879.263429774</v>
      </c>
      <c r="I100" s="43"/>
      <c r="J100" s="17"/>
      <c r="K100" s="17"/>
      <c r="L100" s="17"/>
    </row>
    <row r="101" spans="3:12" ht="12.75" outlineLevel="1">
      <c r="C101" s="10"/>
      <c r="D101" s="10"/>
      <c r="E101" s="10"/>
      <c r="F101" s="10"/>
      <c r="G101" s="10"/>
      <c r="H101" s="10">
        <f t="shared" si="34"/>
        <v>-11419013.822495582</v>
      </c>
      <c r="I101" s="43"/>
      <c r="J101" s="17"/>
      <c r="K101" s="17"/>
      <c r="L101" s="17"/>
    </row>
    <row r="102" spans="8:12" ht="12.75" outlineLevel="1">
      <c r="H102" s="10"/>
      <c r="I102" s="43"/>
      <c r="J102" s="17"/>
      <c r="K102" s="17"/>
      <c r="L102" s="17"/>
    </row>
    <row r="103" spans="1:12" ht="12.75" outlineLevel="1">
      <c r="A103" s="3" t="s">
        <v>52</v>
      </c>
      <c r="B103" s="45">
        <f aca="true" t="shared" si="35" ref="B103:G103">IF(((Prob_up*C95+Prob_down*C96)/(1+$H$6)+B39)&gt;((Prob_up*C103+Prob_down*C104)/(1+$H$6)+B39),(Prob_up*C95+Prob_down*C96)/(1+$H$6)+B39,(Prob_up*C103+Prob_down*C104)/(1+$H$6)+B39)</f>
        <v>211912.40091849008</v>
      </c>
      <c r="C103" s="45">
        <f t="shared" si="35"/>
        <v>3046232.3619375783</v>
      </c>
      <c r="D103" s="45">
        <f t="shared" si="35"/>
        <v>7240180.829223864</v>
      </c>
      <c r="E103" s="45">
        <f t="shared" si="35"/>
        <v>10550295.443957297</v>
      </c>
      <c r="F103" s="45">
        <f t="shared" si="35"/>
        <v>12447584.893881297</v>
      </c>
      <c r="G103" s="45">
        <f t="shared" si="35"/>
        <v>11302145.202761281</v>
      </c>
      <c r="H103" s="10">
        <f aca="true" t="shared" si="36" ref="H103:H109">H39</f>
        <v>6221188.003905095</v>
      </c>
      <c r="I103" s="43"/>
      <c r="J103" s="17"/>
      <c r="K103" s="17"/>
      <c r="L103" s="17"/>
    </row>
    <row r="104" spans="1:12" ht="12.75" outlineLevel="1">
      <c r="A104" s="3" t="s">
        <v>60</v>
      </c>
      <c r="B104" s="26"/>
      <c r="C104" s="45">
        <f>IF(((Prob_up*D96+Prob_down*D97)/(1+$H$6)+C40)&gt;((Prob_up*D104+Prob_down*D105)/(1+$H$6)+C40),(Prob_up*D96+Prob_down*D97)/(1+$H$6)+C40,(Prob_up*D104+Prob_down*D105)/(1+$H$6)+C40)</f>
        <v>-8189329.529697899</v>
      </c>
      <c r="D104" s="45">
        <f>IF(((Prob_up*E96+Prob_down*E97)/(1+$H$6)+D40)&gt;((Prob_up*E104+Prob_down*E105)/(1+$H$6)+D40),(Prob_up*E96+Prob_down*E97)/(1+$H$6)+D40,(Prob_up*E104+Prob_down*E105)/(1+$H$6)+D40)</f>
        <v>-3825078.635980255</v>
      </c>
      <c r="E104" s="45">
        <f>IF(((Prob_up*F96+Prob_down*F97)/(1+$H$6)+E40)&gt;((Prob_up*F104+Prob_down*F105)/(1+$H$6)+E40),(Prob_up*F96+Prob_down*F97)/(1+$H$6)+E40,(Prob_up*F104+Prob_down*F105)/(1+$H$6)+E40)</f>
        <v>-173719.78252458584</v>
      </c>
      <c r="F104" s="45">
        <f>IF(((Prob_up*G96+Prob_down*G97)/(1+$H$6)+F40)&gt;((Prob_up*G104+Prob_down*G105)/(1+$H$6)+F40),(Prob_up*G96+Prob_down*G97)/(1+$H$6)+F40,(Prob_up*G104+Prob_down*G105)/(1+$H$6)+F40)</f>
        <v>2485275.412479015</v>
      </c>
      <c r="G104" s="45">
        <f>IF(((Prob_up*H96+Prob_down*H97)/(1+$H$6)+G40)&gt;((Prob_up*H104+Prob_down*H105)/(1+$H$6)+G40),(Prob_up*H96+Prob_down*H97)/(1+$H$6)+G40,(Prob_up*H104+Prob_down*H105)/(1+$H$6)+G40)</f>
        <v>3808862.5439171107</v>
      </c>
      <c r="H104" s="10">
        <f t="shared" si="36"/>
        <v>2918246.9764127065</v>
      </c>
      <c r="I104" s="43"/>
      <c r="J104" s="17"/>
      <c r="K104" s="17"/>
      <c r="L104" s="17"/>
    </row>
    <row r="105" spans="1:12" ht="12.75" outlineLevel="1">
      <c r="A105" t="s">
        <v>38</v>
      </c>
      <c r="B105" s="26"/>
      <c r="C105" s="45"/>
      <c r="D105" s="45">
        <f>IF(((Prob_up*E97+Prob_down*E98)/(1+$H$6)+D41)&gt;((Prob_up*E105+Prob_down*E106)/(1+$H$6)+D41),(Prob_up*E97+Prob_down*E98)/(1+$H$6)+D41,(Prob_up*E105+Prob_down*E106)/(1+$H$6)+D41)</f>
        <v>-11989676.713116813</v>
      </c>
      <c r="E105" s="45">
        <f>IF(((Prob_up*F97+Prob_down*F98)/(1+$H$6)+E41)&gt;((Prob_up*F105+Prob_down*F106)/(1+$H$6)+E41),(Prob_up*F97+Prob_down*F98)/(1+$H$6)+E41,(Prob_up*F105+Prob_down*F106)/(1+$H$6)+E41)</f>
        <v>-7655192.941617785</v>
      </c>
      <c r="F105" s="45">
        <f>IF(((Prob_up*G97+Prob_down*G98)/(1+$H$6)+F41)&gt;((Prob_up*G105+Prob_down*G106)/(1+$H$6)+F41),(Prob_up*G97+Prob_down*G98)/(1+$H$6)+F41,(Prob_up*G105+Prob_down*G106)/(1+$H$6)+F41)</f>
        <v>-3985747.9929362065</v>
      </c>
      <c r="G105" s="45">
        <f>IF(((Prob_up*H97+Prob_down*H98)/(1+$H$6)+G41)&gt;((Prob_up*H105+Prob_down*H106)/(1+$H$6)+G41),(Prob_up*H97+Prob_down*H98)/(1+$H$6)+G41,(Prob_up*H105+Prob_down*H106)/(1+$H$6)+G41)</f>
        <v>-1251397.3494209563</v>
      </c>
      <c r="H105" s="10">
        <f t="shared" si="36"/>
        <v>214027.58160169935</v>
      </c>
      <c r="I105" s="43"/>
      <c r="J105" s="17"/>
      <c r="K105" s="17"/>
      <c r="L105" s="17"/>
    </row>
    <row r="106" spans="1:12" ht="12.75" outlineLevel="1">
      <c r="A106" t="s">
        <v>39</v>
      </c>
      <c r="B106" s="26"/>
      <c r="C106" s="45"/>
      <c r="D106" s="45"/>
      <c r="E106" s="45">
        <f>IF(((Prob_up*F98+Prob_down*F99)/(1+$H$6)+E42)&gt;((Prob_up*F106+Prob_down*F107)/(1+$H$6)+E42),(Prob_up*F98+Prob_down*F99)/(1+$H$6)+E42,(Prob_up*F106+Prob_down*F107)/(1+$H$6)+E42)</f>
        <v>-13667310.587803565</v>
      </c>
      <c r="F106" s="45">
        <f>IF(((Prob_up*G98+Prob_down*G99)/(1+$H$6)+F42)&gt;((Prob_up*G106+Prob_down*G107)/(1+$H$6)+F42),(Prob_up*G98+Prob_down*G99)/(1+$H$6)+F42,(Prob_up*G106+Prob_down*G107)/(1+$H$6)+F42)</f>
        <v>-9114736.727650046</v>
      </c>
      <c r="G106" s="45">
        <f>IF(((Prob_up*H98+Prob_down*H99)/(1+$H$6)+G42)&gt;((Prob_up*H106+Prob_down*H107)/(1+$H$6)+G42),(Prob_up*H98+Prob_down*H99)/(1+$H$6)+G42,(Prob_up*H106+Prob_down*H107)/(1+$H$6)+G42)</f>
        <v>-5141958.960091338</v>
      </c>
      <c r="H106" s="10">
        <f t="shared" si="36"/>
        <v>-2000000</v>
      </c>
      <c r="I106" s="43"/>
      <c r="J106" s="17"/>
      <c r="K106" s="17"/>
      <c r="L106" s="17"/>
    </row>
    <row r="107" spans="1:12" ht="12.75" outlineLevel="1">
      <c r="A107" t="s">
        <v>32</v>
      </c>
      <c r="B107" s="26"/>
      <c r="C107" s="45"/>
      <c r="D107" s="45"/>
      <c r="E107" s="45"/>
      <c r="F107" s="45">
        <f>IF(((Prob_up*G99+Prob_down*G100)/(1+$H$6)+F43)&gt;((Prob_up*G107+Prob_down*G108)/(1+$H$6)+F43),(Prob_up*G99+Prob_down*G100)/(1+$H$6)+F43,(Prob_up*G107+Prob_down*G108)/(1+$H$6)+F43)</f>
        <v>-13313997.536950797</v>
      </c>
      <c r="G107" s="45">
        <f>IF(((Prob_up*H99+Prob_down*H100)/(1+$H$6)+G43)&gt;((Prob_up*H107+Prob_down*H108)/(1+$H$6)+G43),(Prob_up*H99+Prob_down*H100)/(1+$H$6)+G43,(Prob_up*H107+Prob_down*H108)/(1+$H$6)+G43)</f>
        <v>-8327281.397491785</v>
      </c>
      <c r="H107" s="10">
        <f t="shared" si="36"/>
        <v>-3812692.4692201815</v>
      </c>
      <c r="I107" s="43"/>
      <c r="J107" s="17"/>
      <c r="K107" s="17"/>
      <c r="L107" s="17"/>
    </row>
    <row r="108" spans="2:12" ht="12.75" outlineLevel="1">
      <c r="B108" s="26"/>
      <c r="C108" s="45"/>
      <c r="D108" s="45"/>
      <c r="E108" s="45"/>
      <c r="F108" s="45"/>
      <c r="G108" s="45">
        <f>IF(((Prob_up*H100+Prob_down*H101)/(1+$H$6)+G44)&gt;((Prob_up*H108+Prob_down*H109)/(1+$H$6)+G44),(Prob_up*H100+Prob_down*H101)/(1+$H$6)+G44,(Prob_up*H108+Prob_down*H109)/(1+$H$6)+G44)</f>
        <v>-10935202.835460845</v>
      </c>
      <c r="H108" s="10">
        <f t="shared" si="36"/>
        <v>-5296799.539643608</v>
      </c>
      <c r="I108" s="43"/>
      <c r="J108" s="17"/>
      <c r="K108" s="17"/>
      <c r="L108" s="17"/>
    </row>
    <row r="109" spans="2:12" ht="12.75" outlineLevel="1">
      <c r="B109" s="26"/>
      <c r="C109" s="45"/>
      <c r="D109" s="45"/>
      <c r="E109" s="45"/>
      <c r="F109" s="45"/>
      <c r="G109" s="45"/>
      <c r="H109" s="10">
        <f t="shared" si="36"/>
        <v>-6511883.639059738</v>
      </c>
      <c r="I109" s="43"/>
      <c r="J109" s="17"/>
      <c r="K109" s="17"/>
      <c r="L109" s="17"/>
    </row>
    <row r="110" spans="2:18" ht="12.75" outlineLevel="1">
      <c r="B110" s="26"/>
      <c r="C110" s="45"/>
      <c r="D110" s="45"/>
      <c r="E110" s="45"/>
      <c r="F110" s="45"/>
      <c r="G110" s="45"/>
      <c r="H110" s="10"/>
      <c r="I110" s="43"/>
      <c r="J110" s="17"/>
      <c r="K110" s="17"/>
      <c r="L110" s="1"/>
      <c r="M110" s="1"/>
      <c r="N110" s="1"/>
      <c r="O110" s="1"/>
      <c r="P110" s="1"/>
      <c r="Q110" s="1"/>
      <c r="R110" s="1"/>
    </row>
    <row r="111" spans="1:9" ht="12.75" outlineLevel="1">
      <c r="A111" s="3" t="s">
        <v>57</v>
      </c>
      <c r="B111" s="32" t="str">
        <f aca="true" t="shared" si="37" ref="B111:G111">IF(((Prob_up*C95+Prob_down*C96)/(1+$H$6)+B39)&gt;((Prob_up*C103+Prob_down*C104)/(1+$H$6)+B39),"YES","NO")</f>
        <v>NO</v>
      </c>
      <c r="C111" s="32" t="str">
        <f t="shared" si="37"/>
        <v>NO</v>
      </c>
      <c r="D111" s="32" t="str">
        <f t="shared" si="37"/>
        <v>NO</v>
      </c>
      <c r="E111" s="32" t="str">
        <f t="shared" si="37"/>
        <v>YES</v>
      </c>
      <c r="F111" s="32" t="str">
        <f t="shared" si="37"/>
        <v>YES</v>
      </c>
      <c r="G111" s="32" t="str">
        <f t="shared" si="37"/>
        <v>YES</v>
      </c>
      <c r="H111" s="49" t="s">
        <v>61</v>
      </c>
      <c r="I111" s="26"/>
    </row>
    <row r="112" spans="1:7" ht="12.75" outlineLevel="1">
      <c r="A112" s="3" t="s">
        <v>34</v>
      </c>
      <c r="B112" s="32"/>
      <c r="C112" s="32" t="str">
        <f>IF(((Prob_up*D96+Prob_down*D97)/(1+$H$6)+C40)&gt;((Prob_up*D104+Prob_down*D105)/(1+$H$6)+C40),"YES","NO")</f>
        <v>NO</v>
      </c>
      <c r="D112" s="32" t="str">
        <f>IF(((Prob_up*E96+Prob_down*E97)/(1+$H$6)+D40)&gt;((Prob_up*E104+Prob_down*E105)/(1+$H$6)+D40),"YES","NO")</f>
        <v>NO</v>
      </c>
      <c r="E112" s="32" t="str">
        <f>IF(((Prob_up*F96+Prob_down*F97)/(1+$H$6)+E40)&gt;((Prob_up*F104+Prob_down*F105)/(1+$H$6)+E40),"YES","NO")</f>
        <v>NO</v>
      </c>
      <c r="F112" s="32" t="str">
        <f>IF(((Prob_up*G96+Prob_down*G97)/(1+$H$6)+F40)&gt;((Prob_up*G104+Prob_down*G105)/(1+$H$6)+F40),"YES","NO")</f>
        <v>NO</v>
      </c>
      <c r="G112" s="32" t="str">
        <f>IF(((Prob_up*H96+Prob_down*H97)/(1+$H$6)+G40)&gt;((Prob_up*H104+Prob_down*H105)/(1+$H$6)+G40),"YES","NO")</f>
        <v>YES</v>
      </c>
    </row>
    <row r="113" spans="2:7" ht="12.75" outlineLevel="1">
      <c r="B113" s="32"/>
      <c r="C113" s="32"/>
      <c r="D113" s="32" t="str">
        <f>IF(((Prob_up*E97+Prob_down*E98)/(1+$H$6)+D41)&gt;((Prob_up*E105+Prob_down*E106)/(1+$H$6)+D41),"YES","NO")</f>
        <v>NO</v>
      </c>
      <c r="E113" s="32" t="str">
        <f>IF(((Prob_up*F97+Prob_down*F98)/(1+$H$6)+E41)&gt;((Prob_up*F105+Prob_down*F106)/(1+$H$6)+E41),"YES","NO")</f>
        <v>NO</v>
      </c>
      <c r="F113" s="32" t="str">
        <f>IF(((Prob_up*G97+Prob_down*G98)/(1+$H$6)+F41)&gt;((Prob_up*G105+Prob_down*G106)/(1+$H$6)+F41),"YES","NO")</f>
        <v>NO</v>
      </c>
      <c r="G113" s="32" t="str">
        <f>IF(((Prob_up*H97+Prob_down*H98)/(1+$H$6)+G41)&gt;((Prob_up*H105+Prob_down*H106)/(1+$H$6)+G41),"YES","NO")</f>
        <v>NO</v>
      </c>
    </row>
    <row r="114" spans="2:7" ht="12.75" outlineLevel="1">
      <c r="B114" s="32"/>
      <c r="C114" s="32"/>
      <c r="D114" s="32"/>
      <c r="E114" s="32" t="str">
        <f>IF(((Prob_up*F98+Prob_down*F99)/(1+$H$6)+E42)&gt;((Prob_up*F106+Prob_down*F107)/(1+$H$6)+E42),"YES","NO")</f>
        <v>NO</v>
      </c>
      <c r="F114" s="32" t="str">
        <f>IF(((Prob_up*G98+Prob_down*G99)/(1+$H$6)+F42)&gt;((Prob_up*G106+Prob_down*G107)/(1+$H$6)+F42),"YES","NO")</f>
        <v>NO</v>
      </c>
      <c r="G114" s="32" t="str">
        <f>IF(((Prob_up*H98+Prob_down*H99)/(1+$H$6)+G42)&gt;((Prob_up*H106+Prob_down*H107)/(1+$H$6)+G42),"YES","NO")</f>
        <v>NO</v>
      </c>
    </row>
    <row r="115" spans="2:7" ht="12.75" outlineLevel="1">
      <c r="B115" s="32"/>
      <c r="C115" s="32"/>
      <c r="D115" s="32"/>
      <c r="E115" s="32"/>
      <c r="F115" s="32" t="str">
        <f>IF(((Prob_up*G99+Prob_down*G100)/(1+$H$6)+F43)&gt;((Prob_up*G107+Prob_down*G108)/(1+$H$6)+F43),"YES","NO")</f>
        <v>NO</v>
      </c>
      <c r="G115" s="32" t="str">
        <f>IF(((Prob_up*H99+Prob_down*H100)/(1+$H$6)+G43)&gt;((Prob_up*H107+Prob_down*H108)/(1+$H$6)+G43),"YES","NO")</f>
        <v>NO</v>
      </c>
    </row>
    <row r="116" spans="2:7" ht="12.75" outlineLevel="1">
      <c r="B116" s="32"/>
      <c r="C116" s="32"/>
      <c r="D116" s="32"/>
      <c r="E116" s="32"/>
      <c r="F116" s="32"/>
      <c r="G116" s="32" t="str">
        <f>IF(((Prob_up*H100+Prob_down*H101)/(1+$H$6)+G44)&gt;((Prob_up*H108+Prob_down*H109)/(1+$H$6)+G44),"YES","NO")</f>
        <v>NO</v>
      </c>
    </row>
    <row r="117" ht="12.75" outlineLevel="1"/>
    <row r="118" spans="10:32" ht="12.75">
      <c r="J118" s="58" t="s">
        <v>15</v>
      </c>
      <c r="K118" s="58" t="s">
        <v>16</v>
      </c>
      <c r="L118" s="58" t="s">
        <v>17</v>
      </c>
      <c r="M118" s="71" t="s">
        <v>19</v>
      </c>
      <c r="N118" s="71"/>
      <c r="O118" s="71"/>
      <c r="P118" s="71"/>
      <c r="Q118" s="71"/>
      <c r="R118" s="71"/>
      <c r="S118" s="71"/>
      <c r="T118" s="71"/>
      <c r="U118" s="71"/>
      <c r="V118" s="71"/>
      <c r="W118" s="71"/>
      <c r="X118" s="71"/>
      <c r="Y118" s="71"/>
      <c r="Z118" s="71"/>
      <c r="AA118" s="71"/>
      <c r="AB118" s="71"/>
      <c r="AC118" s="71"/>
      <c r="AD118" s="71"/>
      <c r="AE118" s="71"/>
      <c r="AF118" s="71"/>
    </row>
    <row r="119" spans="1:32" ht="12.75">
      <c r="A119" s="3" t="s">
        <v>14</v>
      </c>
      <c r="B119" s="10">
        <f aca="true" t="shared" si="38" ref="B119:G122">B52</f>
        <v>0</v>
      </c>
      <c r="C119" s="10">
        <f t="shared" si="38"/>
        <v>-846688.2314674311</v>
      </c>
      <c r="D119" s="10">
        <f t="shared" si="38"/>
        <v>170621.47767992612</v>
      </c>
      <c r="E119" s="10">
        <f t="shared" si="38"/>
        <v>1066665.391934699</v>
      </c>
      <c r="F119" s="10">
        <f t="shared" si="38"/>
        <v>1854598.710760512</v>
      </c>
      <c r="G119" s="10">
        <f t="shared" si="38"/>
        <v>2546164.997274284</v>
      </c>
      <c r="H119" s="10">
        <f>H52</f>
        <v>3151847.453473336</v>
      </c>
      <c r="J119" s="10">
        <f aca="true" t="shared" si="39" ref="J119:J125">L119*SUM(M119:AF119)</f>
        <v>1915974.3949409525</v>
      </c>
      <c r="K119" s="53">
        <f>L119*COUNT(M119:AF119)</f>
        <v>0.177978515625</v>
      </c>
      <c r="L119" s="53">
        <f>Prob_up^6*Prob_down^0</f>
        <v>0.177978515625</v>
      </c>
      <c r="M119" s="10">
        <f>B119+IF(B111="YES",C129+D129+E129+F129+G129+H129,C119+IF(C111="YES",D129+E129+F129+G129+H129,D119+IF(D111="YES",E129+F129+G129+H129,E119+IF(E111="YES",F129+G129+H129,F119+IF(F111="YES",G129+H129,G119+IF(G111="YES",H129,H119))))))</f>
        <v>10765200.441259453</v>
      </c>
      <c r="N119" s="10"/>
      <c r="O119" s="10"/>
      <c r="P119" s="10"/>
      <c r="Q119" s="10"/>
      <c r="R119" s="10"/>
      <c r="S119" s="10"/>
      <c r="T119" s="10"/>
      <c r="U119" s="10"/>
      <c r="V119" s="10"/>
      <c r="W119" s="10"/>
      <c r="X119" s="10"/>
      <c r="Y119" s="10"/>
      <c r="Z119" s="10"/>
      <c r="AA119" s="10"/>
      <c r="AB119" s="10"/>
      <c r="AC119" s="10"/>
      <c r="AD119" s="10"/>
      <c r="AE119" s="10"/>
      <c r="AF119" s="10"/>
    </row>
    <row r="120" spans="3:32" ht="12.75">
      <c r="C120" s="10">
        <f t="shared" si="38"/>
        <v>-2635380.196107504</v>
      </c>
      <c r="D120" s="10">
        <f t="shared" si="38"/>
        <v>-1594387.7551020405</v>
      </c>
      <c r="E120" s="10">
        <f t="shared" si="38"/>
        <v>-674974.6743203371</v>
      </c>
      <c r="F120" s="10">
        <f t="shared" si="38"/>
        <v>136018.39738514516</v>
      </c>
      <c r="G120" s="10">
        <f t="shared" si="38"/>
        <v>850339.1198459015</v>
      </c>
      <c r="H120" s="10">
        <f aca="true" t="shared" si="40" ref="F120:H125">H53</f>
        <v>1478474.7375322955</v>
      </c>
      <c r="J120" s="10">
        <f t="shared" si="39"/>
        <v>904787.255524049</v>
      </c>
      <c r="K120" s="53">
        <f aca="true" t="shared" si="41" ref="K120:K125">L120*COUNT(M120:AF120)</f>
        <v>0.35595703125</v>
      </c>
      <c r="L120" s="53">
        <f>Prob_up^5*Prob_down^1</f>
        <v>0.059326171875</v>
      </c>
      <c r="M120" s="10">
        <f>B119+IF(B111="YES",C129+D129+E129+F129+G129+H130,C119+IF(C111="YES",D129+E129+F129+G129+H130,D119+IF(D111="YES",E129+F129+G129+H130,E119+IF(E111="YES",F129+G129+H130,F119+IF(F111="YES",G129+H130,G119+IF(G111="YES",H130,H120))))))</f>
        <v>8087804.095753789</v>
      </c>
      <c r="N120" s="10">
        <f>B119+IF(B111="YES",C129+D129+E129+F129+G130+H130,C119+IF(C111="YES",D129+E129+F129+G130+H130,D119+IF(D111="YES",E129+F129+G130+H130,E119+IF(E111="YES",F129+G130+H130,F119+IF(F111="YES",G130+H130,G120+IF(G112="YES",H130,H120))))))</f>
        <v>5374482.691868377</v>
      </c>
      <c r="O120" s="10">
        <f>B119+IF(B111="YES",C129+D129+E129+F130+G130+H130,C119+IF(C111="YES",D129+E129+F130+G130+H130,D119+IF(D111="YES",E129+F130+G130+H130,E119+IF(E111="YES",F130+G130+H130,F120+IF(F112="YES",G130+H130,G120+IF(G112="YES",H130,H120))))))</f>
        <v>2624754.1904677902</v>
      </c>
      <c r="P120" s="10">
        <f>B119+IF(B111="YES",C129+D129+E130+F130+G130+H130,C119+IF(C111="YES",D129+E130+F130+G130+H130,D119+IF(D111="YES",E130+F130+G130+H130,E120+IF(E112="YES",F130+G130+H130,F120+IF(F112="YES",G130+H130,G120+IF(G112="YES",H130,H120))))))</f>
        <v>1494244.547997557</v>
      </c>
      <c r="Q120" s="10">
        <f>B119+IF(B111="YES",C129+D130+E130+F130+G130+H130,C119+IF(C111="YES",D130+E130+F130+G130+H130,D120+IF(D112="YES",E130+F130+G130+H130,E120+IF(E112="YES",F130+G130+H130,F120+IF(F112="YES",G130+H130,G120+IF(G112="YES",H130,H120))))))</f>
        <v>-270764.6847844095</v>
      </c>
      <c r="R120" s="10">
        <f>B119+IF(B111="YES",C130+D130+E130+F130+G130+H130,C120+IF(C112="YES",D130+E130+F130+G130+H130,D120+IF(D112="YES",E130+F130+G130+H130,E120+IF(E112="YES",F130+G130+H130,F120+IF(F112="YES",G130+H130,G120+IF(G112="YES",H130,H120))))))</f>
        <v>-2059456.6494244824</v>
      </c>
      <c r="S120" s="10"/>
      <c r="T120" s="10"/>
      <c r="U120" s="10"/>
      <c r="V120" s="10"/>
      <c r="W120" s="10"/>
      <c r="X120" s="10"/>
      <c r="Y120" s="10"/>
      <c r="Z120" s="10"/>
      <c r="AA120" s="10"/>
      <c r="AB120" s="10"/>
      <c r="AC120" s="10"/>
      <c r="AD120" s="10"/>
      <c r="AE120" s="10"/>
      <c r="AF120" s="10"/>
    </row>
    <row r="121" spans="4:32" ht="12.75">
      <c r="D121" s="10">
        <f t="shared" si="38"/>
        <v>-3039455.0934472107</v>
      </c>
      <c r="E121" s="10">
        <f t="shared" si="38"/>
        <v>-2100908.9573561093</v>
      </c>
      <c r="F121" s="10">
        <f t="shared" si="38"/>
        <v>-1271036.1568096622</v>
      </c>
      <c r="G121" s="10">
        <f t="shared" si="38"/>
        <v>-538085.6778701667</v>
      </c>
      <c r="H121" s="10">
        <f t="shared" si="40"/>
        <v>108433.03362973942</v>
      </c>
      <c r="J121" s="10">
        <f t="shared" si="39"/>
        <v>-1069116.4850160722</v>
      </c>
      <c r="K121" s="53">
        <f t="shared" si="41"/>
        <v>0.296630859375</v>
      </c>
      <c r="L121" s="53">
        <f>Prob_up^4*Prob_down^2</f>
        <v>0.019775390625</v>
      </c>
      <c r="M121" s="10">
        <f>B119+IF(B111="YES",C129+D129+E129+F129+G130+H131,C119+IF(C111="YES",D129+E129+F129+G130+H131,D119+IF(D111="YES",E129+F129+G130+H131,E119+IF(E111="YES",F129+G130+H131,F119+IF(F111="YES",G130+H131,G120+IF(G112="YES",H131,H121))))))</f>
        <v>3182415.9656242873</v>
      </c>
      <c r="N121" s="10">
        <f>B119+IF(B111="YES",C129+D129+E129+F130+G130+H131,C119+IF(C111="YES",D129+E129+F130+G130+H131,D119+IF(D111="YES",E129+F130+G130+H131,E119+IF(E111="YES",F130+G130+H131,F120+IF(F112="YES",G130+H131,G120+IF(G112="YES",H131,H121))))))</f>
        <v>432687.4642237007</v>
      </c>
      <c r="O121" s="10">
        <f>B119+IF(B111="YES",C129+D129+E129+F130+G131+H131,C119+IF(C111="YES",D129+E129+F130+G131+H131,D119+IF(D111="YES",E129+F130+G131+H131,E119+IF(E111="YES",F130+G131+H131,F120+IF(F112="YES",G131+H131,G121+IF(G113="YES",H131,H121))))))</f>
        <v>-1788792.2121220091</v>
      </c>
      <c r="P121" s="10">
        <f>B119+IF(B111="YES",C129+D129+E130+F130+G130+H131,C119+IF(C111="YES",D129+E130+F130+G130+H131,D119+IF(D111="YES",E130+F130+G130+H131,E120+IF(E112="YES",F130+G130+H131,F120+IF(F112="YES",G130+H131,G120+IF(G112="YES",H131,H121))))))</f>
        <v>-697822.1782465331</v>
      </c>
      <c r="Q121" s="10">
        <f>B119+IF(B111="YES",C129+D129+E130+F130+G131+H131,C119+IF(C111="YES",D129+E130+F130+G131+H131,D119+IF(D111="YES",E130+F130+G131+H131,E120+IF(E112="YES",F130+G131+H131,F120+IF(F112="YES",G131+H131,G121+IF(G113="YES",H131,H121))))))</f>
        <v>-1644675.674963124</v>
      </c>
      <c r="R121" s="10">
        <f>B119+IF(B111="YES",C129+D129+E130+F131+G131+H131,C119+IF(C111="YES",D129+E130+F131+G131+H131,D119+IF(D111="YES",E130+F131+G131+H131,E120+IF(E112="YES",F131+G131+H131,F121+IF(F113="YES",G131+H131,G121+IF(G113="YES",H131,H121))))))</f>
        <v>-3051730.2291579316</v>
      </c>
      <c r="S121" s="10">
        <f>B119+IF(B111="YES",C129+D130+E130+F130+G130+H131,C119+IF(C111="YES",D130+E130+F130+G130+H131,D120+IF(D112="YES",E130+F130+G130+H131,E120+IF(E112="YES",F130+G130+H131,F120+IF(F112="YES",G130+H131,G120+IF(G112="YES",H131,H121))))))</f>
        <v>-2462831.4110284997</v>
      </c>
      <c r="T121" s="10">
        <f>B119+IF(B111="YES",C129+D130+E130+F130+G131+H131,C119+IF(C111="YES",D130+E130+F130+G131+H131,D120+IF(D112="YES",E130+F130+G131+H131,E120+IF(E112="YES",F130+G131+H131,F120+IF(F112="YES",G131+H131,G121+IF(G113="YES",H131,H121))))))</f>
        <v>-3409684.907745091</v>
      </c>
      <c r="U121" s="10">
        <f>B119+IF(B111="YES",C129+D130+E130+F131+G131+H131,C119+IF(C111="YES",D130+E130+F131+G131+H131,D120+IF(D112="YES",E130+F131+G131+H131,E120+IF(E112="YES",F131+G131+H131,F121+IF(F113="YES",G131+H131,G121+IF(G113="YES",H131,H121))))))</f>
        <v>-4816739.461939898</v>
      </c>
      <c r="V121" s="10">
        <f>B119+IF(B111="YES",C129+D130+E131+F131+G131+H131,C119+IF(C111="YES",D130+E131+F131+G131+H131,D120+IF(D112="YES",E131+F131+G131+H131,E121+IF(E113="YES",F131+G131+H131,F121+IF(F113="YES",G131+H131,G121+IF(G113="YES",H131,H121))))))</f>
        <v>-6242673.74497567</v>
      </c>
      <c r="W121" s="10">
        <f>B119+IF(B111="YES",C130+D130+E130+F130+G130+H131,C120+IF(C112="YES",D130+E130+F130+G130+H131,D120+IF(D112="YES",E130+F130+G130+H131,E120+IF(E112="YES",F130+G130+H131,F120+IF(F112="YES",G130+H131,G120+IF(G112="YES",H131,H121))))))</f>
        <v>-4251523.375668572</v>
      </c>
      <c r="X121" s="10">
        <f>B119+IF(B111="YES",C130+D130+E130+F130+G131+H131,C120+IF(C112="YES",D130+E130+F130+G131+H131,D120+IF(D112="YES",E130+F130+G131+H131,E120+IF(E112="YES",F130+G131+H131,F120+IF(F112="YES",G131+H131,G121+IF(G113="YES",H131,H121))))))</f>
        <v>-5198376.872385164</v>
      </c>
      <c r="Y121" s="10">
        <f>B119+IF(B111="YES",C130+D130+E130+F131+G131+H131,C120+IF(C112="YES",D130+E130+F131+G131+H131,D120+IF(D112="YES",E130+F131+G131+H131,E120+IF(E112="YES",F131+G131+H131,F121+IF(F113="YES",G131+H131,G121+IF(G113="YES",H131,H121))))))</f>
        <v>-6605431.426579971</v>
      </c>
      <c r="Z121" s="10">
        <f>B119+IF(B111="YES",C130+D130+E131+F131+G131+H131,C120+IF(C112="YES",D130+E131+F131+G131+H131,D120+IF(D112="YES",E131+F131+G131+H131,E121+IF(E113="YES",F131+G131+H131,F121+IF(F113="YES",G131+H131,G121+IF(G113="YES",H131,H121))))))</f>
        <v>-8031365.709615743</v>
      </c>
      <c r="AA121" s="10">
        <f>B119+IF(B111="YES",C130+D131+E131+F131+G131+H131,C120+IF(C112="YES",D131+E131+F131+G131+H131,D121+IF(D113="YES",E131+F131+G131+H131,E121+IF(E113="YES",F131+G131+H131,F121+IF(F113="YES",G131+H131,G121+IF(G113="YES",H131,H121))))))</f>
        <v>-9476433.047960915</v>
      </c>
      <c r="AB121" s="10"/>
      <c r="AC121" s="10"/>
      <c r="AD121" s="10"/>
      <c r="AE121" s="10"/>
      <c r="AF121" s="10"/>
    </row>
    <row r="122" spans="5:32" ht="12.75">
      <c r="E122" s="10">
        <f t="shared" si="38"/>
        <v>-3268365.2067456986</v>
      </c>
      <c r="F122" s="10">
        <f t="shared" si="38"/>
        <v>-2423034.9915873804</v>
      </c>
      <c r="G122" s="10">
        <f t="shared" si="38"/>
        <v>-1674831.758096388</v>
      </c>
      <c r="H122" s="10">
        <f t="shared" si="40"/>
        <v>-1013262.2423546413</v>
      </c>
      <c r="J122" s="10">
        <f t="shared" si="39"/>
        <v>-1067653.6800352063</v>
      </c>
      <c r="K122" s="53">
        <f t="shared" si="41"/>
        <v>0.1318359375</v>
      </c>
      <c r="L122" s="53">
        <f>Prob_up^3*Prob_down^3</f>
        <v>0.006591796875</v>
      </c>
      <c r="M122" s="10">
        <f>B119+IF(B111="YES",C129+D129+E129+F130+G131+H132,C119+IF(C111="YES",D129+E129+F130+G131+H132,D119+IF(D111="YES",E129+F130+G131+H132,E119+IF(E111="YES",F130+G131+H132,F120+IF(F112="YES",G131+H132,G121+IF(G113="YES",H132,H122))))))</f>
        <v>-3583504.653697018</v>
      </c>
      <c r="N122" s="10">
        <f>B119+IF(B111="YES",C129+D129+E130+F130+G131+H132,C119+IF(C111="YES",D129+E130+F130+G131+H132,D119+IF(D111="YES",E130+F130+G131+H132,E120+IF(E112="YES",F130+G131+H132,F120+IF(F112="YES",G131+H132,G121+IF(G113="YES",H132,H122))))))</f>
        <v>-2766370.950947505</v>
      </c>
      <c r="O122" s="10">
        <f>B119+IF(B111="YES",C129+D129+E130+F131+G131+H132,C119+IF(C111="YES",D129+E130+F131+G131+H132,D119+IF(D111="YES",E130+F131+G131+H132,E120+IF(E112="YES",F131+G131+H132,F121+IF(F113="YES",G131+H132,G121+IF(G113="YES",H132,H122))))))</f>
        <v>-4173425.505142313</v>
      </c>
      <c r="P122" s="10">
        <f>B119+IF(B111="YES",C129+D129+E130+F131+G132+H132,C119+IF(C111="YES",D129+E130+F131+G132+H132,D119+IF(D111="YES",E130+F131+G132+H132,E120+IF(E112="YES",F131+G132+H132,F121+IF(F113="YES",G132+H132,G122+IF(G114="YES",H132,H122))))))</f>
        <v>-5310171.585368535</v>
      </c>
      <c r="Q122" s="10">
        <f>B119+IF(B111="YES",C129+D130+E130+F130+G131+H132,C119+IF(C111="YES",D130+E130+F130+G131+H132,D120+IF(D112="YES",E130+F130+G131+H132,E120+IF(E112="YES",F130+G131+H132,F120+IF(F112="YES",G131+H132,G121+IF(G113="YES",H132,H122))))))</f>
        <v>-4531380.183729472</v>
      </c>
      <c r="R122" s="10">
        <f>B119+IF(B111="YES",C129+D130+E130+F131+G131+H132,C119+IF(C111="YES",D130+E130+F131+G131+H132,D120+IF(D112="YES",E130+F131+G131+H132,E120+IF(E112="YES",F131+G131+H132,F121+IF(F113="YES",G131+H132,G121+IF(G113="YES",H132,H122))))))</f>
        <v>-5938434.73792428</v>
      </c>
      <c r="S122" s="10">
        <f>B119+IF(B111="YES",C129+D130+E130+F131+G132+H132,C119+IF(C111="YES",D130+E130+F131+G132+H132,D120+IF(D112="YES",E130+F131+G132+H132,E120+IF(E112="YES",F131+G132+H132,F121+IF(F113="YES",G132+H132,G122+IF(G114="YES",H132,H122))))))</f>
        <v>-7075180.818150501</v>
      </c>
      <c r="T122" s="10">
        <f>B119+IF(B111="YES",C129+D130+E131+F131+G131+H132,C119+IF(C111="YES",D130+E131+F131+G131+H132,D120+IF(D112="YES",E131+F131+G131+H132,E121+IF(E113="YES",F131+G131+H132,F121+IF(F113="YES",G131+H132,G121+IF(G113="YES",H132,H122))))))</f>
        <v>-7364369.020960052</v>
      </c>
      <c r="U122" s="10">
        <f>B119+IF(B111="YES",C129+D130+E131+F131+G132+H132,C119+IF(C111="YES",D130+E131+F131+G132+H132,D120+IF(D112="YES",E131+F131+G132+H132,E121+IF(E113="YES",F131+G132+H132,F121+IF(F113="YES",G132+H132,G122+IF(G114="YES",H132,H122))))))</f>
        <v>-8501115.101186272</v>
      </c>
      <c r="V122" s="10">
        <f>B119+IF(B111="YES",C129+D130+E131+F132+G132+H132,C119+IF(C111="YES",D130+E131+F132+G132+H132,D120+IF(D112="YES",E131+F132+G132+H132,E121+IF(E113="YES",F132+G132+H132,F122+IF(F114="YES",G132+H132,G122+IF(G114="YES",H132,H122))))))</f>
        <v>-9653113.935963992</v>
      </c>
      <c r="W122" s="10">
        <f>B119+IF(B111="YES",C130+D130+E130+F130+G131+H132,C120+IF(C112="YES",D130+E130+F130+G131+H132,D120+IF(D112="YES",E130+F130+G131+H132,E120+IF(E112="YES",F130+G131+H132,F120+IF(F112="YES",G131+H132,G121+IF(G113="YES",H132,H122))))))</f>
        <v>-6320072.148369545</v>
      </c>
      <c r="X122" s="10">
        <f>B119+IF(B111="YES",C130+D130+E130+F131+G131+H132,C120+IF(C112="YES",D130+E130+F131+G131+H132,D120+IF(D112="YES",E130+F131+G131+H132,E120+IF(E112="YES",F131+G131+H132,F121+IF(F113="YES",G131+H132,G121+IF(G113="YES",H132,H122))))))</f>
        <v>-7727126.702564352</v>
      </c>
      <c r="Y122" s="10">
        <f>B119+IF(B111="YES",C130+D130+E130+F131+G132+H132,C120+IF(C112="YES",D130+E130+F131+G132+H132,D120+IF(D112="YES",E130+F131+G132+H132,E120+IF(E112="YES",F131+G132+H132,F121+IF(F113="YES",G132+H132,G122+IF(G114="YES",H132,H122))))))</f>
        <v>-8863872.782790573</v>
      </c>
      <c r="Z122" s="10">
        <f>B119+IF(B111="YES",C130+D130+E131+F131+G131+H132,C120+IF(C112="YES",D130+E131+F131+G131+H132,D120+IF(D112="YES",E131+F131+G131+H132,E121+IF(E113="YES",F131+G131+H132,F121+IF(F113="YES",G131+H132,G121+IF(G113="YES",H132,H122))))))</f>
        <v>-9153060.985600125</v>
      </c>
      <c r="AA122" s="10">
        <f>B119+IF(B111="YES",C130+D130+E131+F131+G132+H132,C120+IF(C112="YES",D130+E131+F131+G132+H132,D120+IF(D112="YES",E131+F131+G132+H132,E121+IF(E113="YES",F131+G132+H132,F121+IF(F113="YES",G132+H132,G122+IF(G114="YES",H132,H122))))))</f>
        <v>-10289807.065826345</v>
      </c>
      <c r="AB122" s="10">
        <f>B119+IF(B111="YES",C130+D130+E131+F132+G132+H132,C120+IF(C112="YES",D130+E131+F132+G132+H132,D120+IF(D112="YES",E131+F132+G132+H132,E121+IF(E113="YES",F132+G132+H132,F122+IF(F114="YES",G132+H132,G122+IF(G114="YES",H132,H122))))))</f>
        <v>-11441805.900604066</v>
      </c>
      <c r="AC122" s="10">
        <f>B119+IF(B111="YES",C130+D131+E131+F131+G131+H132,C120+IF(C112="YES",D131+E131+F131+G131+H132,D121+IF(D113="YES",E131+F131+G131+H132,E121+IF(E113="YES",F131+G131+H132,F121+IF(F113="YES",G131+H132,G121+IF(G113="YES",H132,H122))))))</f>
        <v>-10598128.323945295</v>
      </c>
      <c r="AD122" s="10">
        <f>B119+IF(B111="YES",C130+D131+E131+F131+G132+H132,C120+IF(C112="YES",D131+E131+F131+G132+H132,D121+IF(D113="YES",E131+F131+G132+H132,E121+IF(E113="YES",F131+G132+H132,F121+IF(F113="YES",G132+H132,G122+IF(G114="YES",H132,H122))))))</f>
        <v>-11734874.404171515</v>
      </c>
      <c r="AE122" s="10">
        <f>B119+IF(B111="YES",C130+D131+E131+F132+G132+H132,C120+IF(C112="YES",D131+E131+F132+G132+H132,D121+IF(D113="YES",E131+F132+G132+H132,E121+IF(E113="YES",F132+G132+H132,F122+IF(F114="YES",G132+H132,G122+IF(G114="YES",H132,H122))))))</f>
        <v>-12886873.238949236</v>
      </c>
      <c r="AF122" s="10">
        <f>B119+IF(B111="YES",C130+D131+E132+F132+G132+H132,C120+IF(C112="YES",D131+E132+F132+G132+H132,D121+IF(D113="YES",E132+F132+G132+H132,E122+IF(E114="YES",F132+G132+H132,F122+IF(F114="YES",G132+H132,G122+IF(G114="YES",H132,H122))))))</f>
        <v>-14054329.488338824</v>
      </c>
    </row>
    <row r="123" spans="6:32" ht="12.75">
      <c r="F123" s="10">
        <f t="shared" si="40"/>
        <v>-3366211.8651299</v>
      </c>
      <c r="G123" s="10">
        <f t="shared" si="40"/>
        <v>-2605520.732418446</v>
      </c>
      <c r="H123" s="10">
        <f t="shared" si="40"/>
        <v>-1931628.6603853477</v>
      </c>
      <c r="J123" s="10">
        <f t="shared" si="39"/>
        <v>-398306.5013433652</v>
      </c>
      <c r="K123" s="53">
        <f t="shared" si="41"/>
        <v>0.032958984375</v>
      </c>
      <c r="L123" s="53">
        <f>Prob_up^2*Prob_down^4</f>
        <v>0.002197265625</v>
      </c>
      <c r="M123" s="10">
        <f>B119+IF(B111="YES",C129+D129+E130+F131+G132+H133,C119+IF(C111="YES",D129+E130+F131+G132+H133,D119+IF(D111="YES",E130+F131+G132+H133,E120+IF(E112="YES",F131+G132+H133,F121+IF(F113="YES",G132+H133,G122+IF(G114="YES",H133,H123))))))</f>
        <v>-6228538.003399241</v>
      </c>
      <c r="N123" s="10">
        <f>B119+IF(B111="YES",C129+D130+E130+F131+G132+H133,C119+IF(C111="YES",D130+E130+F131+G132+H133,D120+IF(D112="YES",E130+F131+G132+H133,E120+IF(E112="YES",F131+G132+H133,F121+IF(F113="YES",G132+H133,G122+IF(G114="YES",H133,H123))))))</f>
        <v>-7993547.236181207</v>
      </c>
      <c r="O123" s="10">
        <f>B119+IF(B111="YES",C129+D130+E131+F131+G132+H133,C119+IF(C111="YES",D130+E131+F131+G132+H133,D120+IF(D112="YES",E131+F131+G132+H133,E121+IF(E113="YES",F131+G132+H133,F121+IF(F113="YES",G132+H133,G122+IF(G114="YES",H133,H123))))))</f>
        <v>-9419481.519216979</v>
      </c>
      <c r="P123" s="10">
        <f>B119+IF(B111="YES",C129+D130+E131+F132+G132+H133,C119+IF(C111="YES",D130+E131+F132+G132+H133,D120+IF(D112="YES",E131+F132+G132+H133,E121+IF(E113="YES",F132+G132+H133,F122+IF(F114="YES",G132+H133,G122+IF(G114="YES",H133,H123))))))</f>
        <v>-10571480.353994697</v>
      </c>
      <c r="Q123" s="10">
        <f>B119+IF(B111="YES",C129+D130+E131+F132+G133+H133,C119+IF(C111="YES",D130+E131+F132+G133+H133,D120+IF(D112="YES",E131+F132+G133+H133,E121+IF(E113="YES",F132+G133+H133,F122+IF(F114="YES",G133+H133,G123+IF(G115="YES",H133,H123))))))</f>
        <v>-11502169.328316756</v>
      </c>
      <c r="R123" s="10">
        <f>B119+IF(B111="YES",C130+D130+E130+F131+G132+H133,C120+IF(C112="YES",D130+E130+F131+G132+H133,D120+IF(D112="YES",E130+F131+G132+H133,E120+IF(E112="YES",F131+G132+H133,F121+IF(F113="YES",G132+H133,G122+IF(G114="YES",H133,H123))))))</f>
        <v>-9782239.20082128</v>
      </c>
      <c r="S123" s="10">
        <f>B119+IF(B111="YES",C130+D130+E131+F131+G132+H133,C120+IF(C112="YES",D130+E131+F131+G132+H133,D120+IF(D112="YES",E131+F131+G132+H133,E121+IF(E113="YES",F131+G132+H133,F121+IF(F113="YES",G132+H133,G122+IF(G114="YES",H133,H123))))))</f>
        <v>-11208173.48385705</v>
      </c>
      <c r="T123" s="10">
        <f>B119+IF(B111="YES",C130+D130+E131+F132+G132+H133,C120+IF(C112="YES",D130+E131+F132+G132+H133,D120+IF(D112="YES",E131+F132+G132+H133,E121+IF(E113="YES",F132+G132+H133,F122+IF(F114="YES",G132+H133,G122+IF(G114="YES",H133,H123))))))</f>
        <v>-12360172.31863477</v>
      </c>
      <c r="U123" s="10">
        <f>B119+IF(B111="YES",C130+D130+E131+F132+G133+H133,C120+IF(C112="YES",D130+E131+F132+G133+H133,D120+IF(D112="YES",E131+F132+G133+H133,E121+IF(E113="YES",F132+G133+H133,F122+IF(F114="YES",G133+H133,G123+IF(G115="YES",H133,H123))))))</f>
        <v>-13290861.29295683</v>
      </c>
      <c r="V123" s="10">
        <f>B119+IF(B111="YES",C130+D131+E131+F131+G132+H133,C120+IF(C112="YES",D131+E131+F131+G132+H133,D121+IF(D113="YES",E131+F131+G132+H133,E121+IF(E113="YES",F131+G132+H133,F121+IF(F113="YES",G132+H133,G122+IF(G114="YES",H133,H123))))))</f>
        <v>-12653240.82220222</v>
      </c>
      <c r="W123" s="10">
        <f>B119+IF(B111="YES",C130+D131+E131+F132+G132+H133,C120+IF(C112="YES",D131+E131+F132+G132+H133,D121+IF(D113="YES",E131+F132+G132+H133,E121+IF(E113="YES",F132+G132+H133,F122+IF(F114="YES",G132+H133,G122+IF(G114="YES",H133,H123))))))</f>
        <v>-13805239.65697994</v>
      </c>
      <c r="X123" s="10">
        <f>B119+IF(B111="YES",C130+D131+E131+F132+G133+H133,C120+IF(C112="YES",D131+E131+F132+G133+H133,D121+IF(D113="YES",E131+F132+G133+H133,E121+IF(E113="YES",F132+G133+H133,F122+IF(F114="YES",G133+H133,G123+IF(G115="YES",H133,H123))))))</f>
        <v>-14735928.631302</v>
      </c>
      <c r="Y123" s="10">
        <f>B119+IF(B111="YES",C130+D131+E132+F132+G132+H133,C120+IF(C112="YES",D131+E132+F132+G132+H133,D121+IF(D113="YES",E132+F132+G132+H133,E122+IF(E114="YES",F132+G132+H133,F122+IF(F114="YES",G132+H133,G122+IF(G114="YES",H133,H123))))))</f>
        <v>-14972695.90636953</v>
      </c>
      <c r="Z123" s="10">
        <f>B119+IF(B111="YES",C130+D131+E132+F132+G133+H133,C120+IF(C112="YES",D131+E132+F132+G133+H133,D121+IF(D113="YES",E132+F132+G133+H133,E122+IF(E114="YES",F132+G133+H133,F122+IF(F114="YES",G133+H133,G123+IF(G115="YES",H133,H123))))))</f>
        <v>-15903384.880691588</v>
      </c>
      <c r="AA123" s="10">
        <f>B119+IF(B111="YES",C130+D131+E132+F133+G133+H133,C120+IF(C112="YES",D131+E132+F133+G133+H133,D121+IF(D113="YES",E132+F133+G133+H133,E122+IF(E114="YES",F133+G133+H133,F123+IF(F115="YES",G133+H133,G123+IF(G115="YES",H133,H123))))))</f>
        <v>-16846561.754234105</v>
      </c>
      <c r="AB123" s="10"/>
      <c r="AC123" s="10"/>
      <c r="AD123" s="10"/>
      <c r="AE123" s="10"/>
      <c r="AF123" s="10"/>
    </row>
    <row r="124" spans="7:32" ht="12.75">
      <c r="G124" s="10">
        <f t="shared" si="40"/>
        <v>-3367504.4172465196</v>
      </c>
      <c r="H124" s="10">
        <f t="shared" si="40"/>
        <v>-2683523.489421157</v>
      </c>
      <c r="J124" s="10">
        <f t="shared" si="39"/>
        <v>-69139.76096248411</v>
      </c>
      <c r="K124" s="53">
        <f t="shared" si="41"/>
        <v>0.00439453125</v>
      </c>
      <c r="L124" s="53">
        <f>Prob_up^1*Prob_down^5</f>
        <v>0.000732421875</v>
      </c>
      <c r="M124" s="10">
        <f>B119+IF(B111="YES",C129+D130+E131+F132+G133+H134,C119+IF(C111="YES",D130+E131+F132+G133+H134,D120+IF(D112="YES",E131+F132+G133+H134,E121+IF(E113="YES",F132+G133+H134,F122+IF(F114="YES",G133+H134,G123+IF(G115="YES",H134,H124))))))</f>
        <v>-12254064.157352563</v>
      </c>
      <c r="N124" s="10">
        <f>B119+IF(B111="YES",C130+D130+E131+F132+G133+H134,C120+IF(C112="YES",D130+E131+F132+G133+H134,D120+IF(D112="YES",E131+F132+G133+H134,E121+IF(E113="YES",F132+G133+H134,F122+IF(F114="YES",G133+H134,G123+IF(G115="YES",H134,H124))))))</f>
        <v>-14042756.121992636</v>
      </c>
      <c r="O124" s="10">
        <f>B119+IF(B111="YES",C130+D131+E131+F132+G133+H134,C120+IF(C112="YES",D131+E131+F132+G133+H134,D121+IF(D113="YES",E131+F132+G133+H134,E121+IF(E113="YES",F132+G133+H134,F122+IF(F114="YES",G133+H134,G123+IF(G115="YES",H134,H124))))))</f>
        <v>-15487823.460337806</v>
      </c>
      <c r="P124" s="10">
        <f>B119+IF(B111="YES",C130+D131+E132+F132+G133+H134,C120+IF(C112="YES",D131+E132+F132+G133+H134,D121+IF(D113="YES",E132+F132+G133+H134,E122+IF(E114="YES",F132+G133+H134,F122+IF(F114="YES",G133+H134,G123+IF(G115="YES",H134,H124))))))</f>
        <v>-16655279.709727395</v>
      </c>
      <c r="Q124" s="10">
        <f>B119+IF(B111="YES",C130+D131+E132+F133+G133+H134,C120+IF(C112="YES",D131+E132+F133+G133+H134,D121+IF(D113="YES",E132+F133+G133+H134,E122+IF(E114="YES",F133+G133+H134,F123+IF(F115="YES",G133+H134,G123+IF(G115="YES",H134,H124))))))</f>
        <v>-17598456.583269916</v>
      </c>
      <c r="R124" s="10">
        <f>B119+IF(B111="YES",C130+D131+E132+F133+G134+H134,C120+IF(C112="YES",D131+E132+F133+G134+H134,D121+IF(D113="YES",E132+F133+G134+H134,E122+IF(E114="YES",F133+G134+H134,F123+IF(F115="YES",G134+H134,G124+IF(G116="YES",H134,H124))))))</f>
        <v>-18360440.26809799</v>
      </c>
      <c r="S124" s="10"/>
      <c r="T124" s="10"/>
      <c r="U124" s="10"/>
      <c r="V124" s="10"/>
      <c r="W124" s="10"/>
      <c r="X124" s="10"/>
      <c r="Y124" s="10"/>
      <c r="Z124" s="10"/>
      <c r="AA124" s="10"/>
      <c r="AB124" s="10"/>
      <c r="AC124" s="10"/>
      <c r="AD124" s="10"/>
      <c r="AE124" s="10"/>
      <c r="AF124" s="10"/>
    </row>
    <row r="125" spans="8:32" ht="12.75">
      <c r="H125" s="10">
        <f t="shared" si="40"/>
        <v>-3299122.909033086</v>
      </c>
      <c r="J125" s="10">
        <f t="shared" si="39"/>
        <v>-4632.822189382305</v>
      </c>
      <c r="K125" s="53">
        <f t="shared" si="41"/>
        <v>0.000244140625</v>
      </c>
      <c r="L125" s="53">
        <f>Prob_up^0*Prob_down^6</f>
        <v>0.000244140625</v>
      </c>
      <c r="M125" s="10">
        <f>B119+IF(B111="YES",C130+D131+E132+F133+G134+H135,C120+IF(C112="YES",D131+E132+F133+G134+H135,D121+IF(D113="YES",E132+F133+G134+H135,E122+IF(E114="YES",F133+G134+H135,F123+IF(F115="YES",G134+H135,G124+IF(G116="YES",H135,H125))))))</f>
        <v>-18976039.68770992</v>
      </c>
      <c r="N125" s="10"/>
      <c r="O125" s="10"/>
      <c r="P125" s="10"/>
      <c r="Q125" s="10"/>
      <c r="R125" s="10"/>
      <c r="S125" s="10"/>
      <c r="T125" s="10"/>
      <c r="U125" s="10"/>
      <c r="V125" s="10"/>
      <c r="W125" s="10"/>
      <c r="X125" s="10"/>
      <c r="Y125" s="10"/>
      <c r="Z125" s="10"/>
      <c r="AA125" s="10"/>
      <c r="AB125" s="10"/>
      <c r="AC125" s="10"/>
      <c r="AD125" s="10"/>
      <c r="AE125" s="10"/>
      <c r="AF125" s="10"/>
    </row>
    <row r="126" spans="10:32" ht="15">
      <c r="J126" s="59">
        <f>SUM(J119:J125)</f>
        <v>211912.40091849133</v>
      </c>
      <c r="K126" s="55">
        <f>SUM(K119:K125)</f>
        <v>1</v>
      </c>
      <c r="L126" s="54"/>
      <c r="M126" s="61"/>
      <c r="N126" s="54"/>
      <c r="O126" s="54"/>
      <c r="P126" s="54"/>
      <c r="Q126" s="54"/>
      <c r="R126" s="54"/>
      <c r="S126" s="54"/>
      <c r="T126" s="54"/>
      <c r="U126" s="54"/>
      <c r="V126" s="54"/>
      <c r="W126" s="54"/>
      <c r="X126" s="54"/>
      <c r="Y126" s="54"/>
      <c r="Z126" s="54"/>
      <c r="AA126" s="54"/>
      <c r="AB126" s="54"/>
      <c r="AC126" s="54"/>
      <c r="AD126" s="54"/>
      <c r="AE126" s="54"/>
      <c r="AF126" s="54"/>
    </row>
    <row r="127" spans="10:32" ht="15">
      <c r="J127" s="67"/>
      <c r="K127" s="55"/>
      <c r="L127" s="54"/>
      <c r="M127" s="61"/>
      <c r="N127" s="54"/>
      <c r="O127" s="54"/>
      <c r="P127" s="54"/>
      <c r="Q127" s="54"/>
      <c r="R127" s="54"/>
      <c r="S127" s="54"/>
      <c r="T127" s="54"/>
      <c r="U127" s="54"/>
      <c r="V127" s="54"/>
      <c r="W127" s="54"/>
      <c r="X127" s="54"/>
      <c r="Y127" s="54"/>
      <c r="Z127" s="54"/>
      <c r="AA127" s="54"/>
      <c r="AB127" s="54"/>
      <c r="AC127" s="54"/>
      <c r="AD127" s="54"/>
      <c r="AE127" s="54"/>
      <c r="AF127" s="54"/>
    </row>
    <row r="128" spans="2:32" ht="12.75">
      <c r="B128" s="72" t="s">
        <v>27</v>
      </c>
      <c r="C128" s="72"/>
      <c r="D128" s="72"/>
      <c r="E128" s="72"/>
      <c r="F128" s="72"/>
      <c r="G128" s="72"/>
      <c r="H128" s="72"/>
      <c r="I128" s="54"/>
      <c r="J128" s="54"/>
      <c r="K128" s="58" t="s">
        <v>16</v>
      </c>
      <c r="L128" s="58" t="s">
        <v>17</v>
      </c>
      <c r="M128" s="70" t="s">
        <v>20</v>
      </c>
      <c r="N128" s="70"/>
      <c r="O128" s="70"/>
      <c r="P128" s="70"/>
      <c r="Q128" s="70"/>
      <c r="R128" s="70"/>
      <c r="S128" s="70"/>
      <c r="T128" s="70"/>
      <c r="U128" s="70"/>
      <c r="V128" s="70"/>
      <c r="W128" s="70"/>
      <c r="X128" s="70"/>
      <c r="Y128" s="70"/>
      <c r="Z128" s="70"/>
      <c r="AA128" s="70"/>
      <c r="AB128" s="70"/>
      <c r="AC128" s="70"/>
      <c r="AD128" s="70"/>
      <c r="AE128" s="70"/>
      <c r="AF128" s="70"/>
    </row>
    <row r="129" spans="2:32" ht="12.75">
      <c r="B129" s="10">
        <f aca="true" t="shared" si="42" ref="B129:G132">B87/(1+$H$6)^B$9</f>
        <v>0</v>
      </c>
      <c r="C129" s="10">
        <f t="shared" si="42"/>
        <v>-2247558.3132050326</v>
      </c>
      <c r="D129" s="10">
        <f t="shared" si="42"/>
        <v>-524199.5132631387</v>
      </c>
      <c r="E129" s="10">
        <f t="shared" si="42"/>
        <v>994884.3792821073</v>
      </c>
      <c r="F129" s="10">
        <f t="shared" si="42"/>
        <v>2331839.858811988</v>
      </c>
      <c r="G129" s="10">
        <f t="shared" si="42"/>
        <v>3506437.1399202547</v>
      </c>
      <c r="H129" s="10">
        <f>H87/(1+$H$6)^H$9</f>
        <v>4536324.804380016</v>
      </c>
      <c r="I129" s="54"/>
      <c r="J129" s="54"/>
      <c r="K129" s="57">
        <f>L129*COUNTIF(M129:AF129,"YES")</f>
        <v>0.177978515625</v>
      </c>
      <c r="L129" s="53">
        <f>Prob_up^6*Prob_down^0</f>
        <v>0.177978515625</v>
      </c>
      <c r="M129" s="54" t="str">
        <f>IF(M119=M52,"NO","YES")</f>
        <v>YES</v>
      </c>
      <c r="N129" s="54"/>
      <c r="O129" s="54"/>
      <c r="P129" s="54"/>
      <c r="Q129" s="54"/>
      <c r="R129" s="54"/>
      <c r="S129" s="54"/>
      <c r="T129" s="54"/>
      <c r="U129" s="54"/>
      <c r="V129" s="54"/>
      <c r="W129" s="54"/>
      <c r="X129" s="54"/>
      <c r="Y129" s="54"/>
      <c r="Z129" s="54"/>
      <c r="AA129" s="54"/>
      <c r="AB129" s="54"/>
      <c r="AC129" s="54"/>
      <c r="AD129" s="54"/>
      <c r="AE129" s="54"/>
      <c r="AF129" s="54"/>
    </row>
    <row r="130" spans="2:32" ht="12.75">
      <c r="B130" s="10"/>
      <c r="C130" s="10">
        <f t="shared" si="42"/>
        <v>-5109465.456629149</v>
      </c>
      <c r="D130" s="10">
        <f t="shared" si="42"/>
        <v>-3348214.2857142854</v>
      </c>
      <c r="E130" s="10">
        <f t="shared" si="42"/>
        <v>-1791739.7267259504</v>
      </c>
      <c r="F130" s="10">
        <f t="shared" si="42"/>
        <v>-417888.64258859906</v>
      </c>
      <c r="G130" s="10">
        <f t="shared" si="42"/>
        <v>793115.7360348433</v>
      </c>
      <c r="H130" s="10">
        <f aca="true" t="shared" si="43" ref="F130:H135">H88/(1+$H$6)^H$9</f>
        <v>1858928.4588743523</v>
      </c>
      <c r="I130" s="54"/>
      <c r="J130" s="54"/>
      <c r="K130" s="57">
        <f aca="true" t="shared" si="44" ref="K130:K135">L130*COUNTIF(M130:AF130,"YES")</f>
        <v>0.35595703125</v>
      </c>
      <c r="L130" s="53">
        <f>Prob_up^5*Prob_down^1</f>
        <v>0.059326171875</v>
      </c>
      <c r="M130" s="54" t="str">
        <f aca="true" t="shared" si="45" ref="M130:AB135">IF(M120=M53,"NO","YES")</f>
        <v>YES</v>
      </c>
      <c r="N130" s="54" t="str">
        <f t="shared" si="45"/>
        <v>YES</v>
      </c>
      <c r="O130" s="54" t="str">
        <f t="shared" si="45"/>
        <v>YES</v>
      </c>
      <c r="P130" s="54" t="str">
        <f t="shared" si="45"/>
        <v>YES</v>
      </c>
      <c r="Q130" s="54" t="str">
        <f t="shared" si="45"/>
        <v>YES</v>
      </c>
      <c r="R130" s="54" t="str">
        <f t="shared" si="45"/>
        <v>YES</v>
      </c>
      <c r="S130" s="54"/>
      <c r="T130" s="54"/>
      <c r="U130" s="54"/>
      <c r="V130" s="54"/>
      <c r="W130" s="54"/>
      <c r="X130" s="54"/>
      <c r="Y130" s="54"/>
      <c r="Z130" s="54"/>
      <c r="AA130" s="54"/>
      <c r="AB130" s="54"/>
      <c r="AC130" s="54"/>
      <c r="AD130" s="54"/>
      <c r="AE130" s="54"/>
      <c r="AF130" s="54"/>
    </row>
    <row r="131" spans="2:32" ht="12.75">
      <c r="B131" s="10"/>
      <c r="C131" s="10"/>
      <c r="D131" s="10">
        <f t="shared" si="42"/>
        <v>-5660322.027066558</v>
      </c>
      <c r="E131" s="10">
        <f t="shared" si="42"/>
        <v>-4073234.5795831857</v>
      </c>
      <c r="F131" s="10">
        <f t="shared" si="42"/>
        <v>-2669175.929300291</v>
      </c>
      <c r="G131" s="10">
        <f t="shared" si="42"/>
        <v>-1428363.940310866</v>
      </c>
      <c r="H131" s="10">
        <f t="shared" si="43"/>
        <v>-333138.2673697377</v>
      </c>
      <c r="I131" s="54"/>
      <c r="J131" s="54"/>
      <c r="K131" s="57">
        <f t="shared" si="44"/>
        <v>0.11865234375</v>
      </c>
      <c r="L131" s="53">
        <f>Prob_up^4*Prob_down^2</f>
        <v>0.019775390625</v>
      </c>
      <c r="M131" s="54" t="str">
        <f t="shared" si="45"/>
        <v>YES</v>
      </c>
      <c r="N131" s="54" t="str">
        <f t="shared" si="45"/>
        <v>YES</v>
      </c>
      <c r="O131" s="54" t="str">
        <f t="shared" si="45"/>
        <v>YES</v>
      </c>
      <c r="P131" s="54" t="str">
        <f t="shared" si="45"/>
        <v>YES</v>
      </c>
      <c r="Q131" s="54" t="str">
        <f t="shared" si="45"/>
        <v>NO</v>
      </c>
      <c r="R131" s="54" t="str">
        <f t="shared" si="45"/>
        <v>NO</v>
      </c>
      <c r="S131" s="54" t="str">
        <f t="shared" si="45"/>
        <v>YES</v>
      </c>
      <c r="T131" s="54" t="str">
        <f t="shared" si="45"/>
        <v>NO</v>
      </c>
      <c r="U131" s="54" t="str">
        <f t="shared" si="45"/>
        <v>NO</v>
      </c>
      <c r="V131" s="54" t="str">
        <f t="shared" si="45"/>
        <v>NO</v>
      </c>
      <c r="W131" s="54" t="str">
        <f t="shared" si="45"/>
        <v>YES</v>
      </c>
      <c r="X131" s="54" t="str">
        <f t="shared" si="45"/>
        <v>NO</v>
      </c>
      <c r="Y131" s="54" t="str">
        <f t="shared" si="45"/>
        <v>NO</v>
      </c>
      <c r="Z131" s="54" t="str">
        <f t="shared" si="45"/>
        <v>NO</v>
      </c>
      <c r="AA131" s="54" t="str">
        <f t="shared" si="45"/>
        <v>NO</v>
      </c>
      <c r="AB131" s="54"/>
      <c r="AC131" s="54"/>
      <c r="AD131" s="54"/>
      <c r="AE131" s="54"/>
      <c r="AF131" s="54"/>
    </row>
    <row r="132" spans="2:32" ht="12.75">
      <c r="B132" s="10"/>
      <c r="C132" s="10"/>
      <c r="D132" s="10"/>
      <c r="E132" s="10">
        <f t="shared" si="42"/>
        <v>-5941164.578606528</v>
      </c>
      <c r="F132" s="10">
        <f t="shared" si="42"/>
        <v>-4512374.064944641</v>
      </c>
      <c r="G132" s="10">
        <f t="shared" si="42"/>
        <v>-3247157.66867282</v>
      </c>
      <c r="H132" s="10">
        <f t="shared" si="43"/>
        <v>-2127850.7089447468</v>
      </c>
      <c r="I132" s="54"/>
      <c r="J132" s="54"/>
      <c r="K132" s="57">
        <f t="shared" si="44"/>
        <v>0.019775390625</v>
      </c>
      <c r="L132" s="53">
        <f>Prob_up^3*Prob_down^3</f>
        <v>0.006591796875</v>
      </c>
      <c r="M132" s="54" t="str">
        <f t="shared" si="45"/>
        <v>YES</v>
      </c>
      <c r="N132" s="54" t="str">
        <f t="shared" si="45"/>
        <v>NO</v>
      </c>
      <c r="O132" s="54" t="str">
        <f t="shared" si="45"/>
        <v>NO</v>
      </c>
      <c r="P132" s="54" t="str">
        <f t="shared" si="45"/>
        <v>NO</v>
      </c>
      <c r="Q132" s="54" t="str">
        <f t="shared" si="45"/>
        <v>NO</v>
      </c>
      <c r="R132" s="54" t="str">
        <f t="shared" si="45"/>
        <v>NO</v>
      </c>
      <c r="S132" s="54" t="str">
        <f t="shared" si="45"/>
        <v>NO</v>
      </c>
      <c r="T132" s="54" t="str">
        <f t="shared" si="45"/>
        <v>NO</v>
      </c>
      <c r="U132" s="54" t="str">
        <f t="shared" si="45"/>
        <v>NO</v>
      </c>
      <c r="V132" s="54" t="str">
        <f t="shared" si="45"/>
        <v>NO</v>
      </c>
      <c r="W132" s="54" t="str">
        <f t="shared" si="45"/>
        <v>YES</v>
      </c>
      <c r="X132" s="54" t="str">
        <f t="shared" si="45"/>
        <v>NO</v>
      </c>
      <c r="Y132" s="54" t="str">
        <f t="shared" si="45"/>
        <v>NO</v>
      </c>
      <c r="Z132" s="54" t="str">
        <f t="shared" si="45"/>
        <v>YES</v>
      </c>
      <c r="AA132" s="54" t="str">
        <f t="shared" si="45"/>
        <v>NO</v>
      </c>
      <c r="AB132" s="54" t="str">
        <f t="shared" si="45"/>
        <v>NO</v>
      </c>
      <c r="AC132" s="54" t="str">
        <f>IF(AC122=AC55,"NO","YES")</f>
        <v>NO</v>
      </c>
      <c r="AD132" s="54" t="str">
        <f>IF(AD122=AD55,"NO","YES")</f>
        <v>NO</v>
      </c>
      <c r="AE132" s="54" t="str">
        <f>IF(AE122=AE55,"NO","YES")</f>
        <v>NO</v>
      </c>
      <c r="AF132" s="54" t="str">
        <f>IF(AF122=AF55,"NO","YES")</f>
        <v>NO</v>
      </c>
    </row>
    <row r="133" spans="2:32" ht="12.75">
      <c r="B133" s="10"/>
      <c r="C133" s="10"/>
      <c r="D133" s="10"/>
      <c r="E133" s="10"/>
      <c r="F133" s="10">
        <f t="shared" si="43"/>
        <v>-6021457.062612672</v>
      </c>
      <c r="G133" s="10">
        <f t="shared" si="43"/>
        <v>-4736260.027588112</v>
      </c>
      <c r="H133" s="10">
        <f t="shared" si="43"/>
        <v>-3597236.9777938775</v>
      </c>
      <c r="I133" s="54"/>
      <c r="J133" s="54"/>
      <c r="K133" s="57">
        <f t="shared" si="44"/>
        <v>0</v>
      </c>
      <c r="L133" s="53">
        <f>Prob_up^2*Prob_down^4</f>
        <v>0.002197265625</v>
      </c>
      <c r="M133" s="54" t="str">
        <f t="shared" si="45"/>
        <v>NO</v>
      </c>
      <c r="N133" s="54" t="str">
        <f t="shared" si="45"/>
        <v>NO</v>
      </c>
      <c r="O133" s="54" t="str">
        <f t="shared" si="45"/>
        <v>NO</v>
      </c>
      <c r="P133" s="54" t="str">
        <f t="shared" si="45"/>
        <v>NO</v>
      </c>
      <c r="Q133" s="54" t="str">
        <f t="shared" si="45"/>
        <v>NO</v>
      </c>
      <c r="R133" s="54" t="str">
        <f t="shared" si="45"/>
        <v>NO</v>
      </c>
      <c r="S133" s="54" t="str">
        <f t="shared" si="45"/>
        <v>NO</v>
      </c>
      <c r="T133" s="54" t="str">
        <f t="shared" si="45"/>
        <v>NO</v>
      </c>
      <c r="U133" s="54" t="str">
        <f t="shared" si="45"/>
        <v>NO</v>
      </c>
      <c r="V133" s="54" t="str">
        <f t="shared" si="45"/>
        <v>NO</v>
      </c>
      <c r="W133" s="54" t="str">
        <f t="shared" si="45"/>
        <v>NO</v>
      </c>
      <c r="X133" s="54" t="str">
        <f t="shared" si="45"/>
        <v>NO</v>
      </c>
      <c r="Y133" s="54" t="str">
        <f t="shared" si="45"/>
        <v>NO</v>
      </c>
      <c r="Z133" s="54" t="str">
        <f t="shared" si="45"/>
        <v>NO</v>
      </c>
      <c r="AA133" s="54" t="str">
        <f t="shared" si="45"/>
        <v>NO</v>
      </c>
      <c r="AB133" s="54"/>
      <c r="AC133" s="54"/>
      <c r="AD133" s="54"/>
      <c r="AE133" s="54"/>
      <c r="AF133" s="54"/>
    </row>
    <row r="134" spans="2:32" ht="12.75">
      <c r="B134" s="10"/>
      <c r="C134" s="10"/>
      <c r="D134" s="10"/>
      <c r="E134" s="10"/>
      <c r="F134" s="10"/>
      <c r="G134" s="10">
        <f t="shared" si="43"/>
        <v>-5955433.92331303</v>
      </c>
      <c r="H134" s="10">
        <f t="shared" si="43"/>
        <v>-4800268.704251173</v>
      </c>
      <c r="I134" s="54"/>
      <c r="J134" s="54"/>
      <c r="K134" s="57">
        <f t="shared" si="44"/>
        <v>0</v>
      </c>
      <c r="L134" s="53">
        <f>Prob_up^1*Prob_down^5</f>
        <v>0.000732421875</v>
      </c>
      <c r="M134" s="54" t="str">
        <f t="shared" si="45"/>
        <v>NO</v>
      </c>
      <c r="N134" s="54" t="str">
        <f t="shared" si="45"/>
        <v>NO</v>
      </c>
      <c r="O134" s="54" t="str">
        <f t="shared" si="45"/>
        <v>NO</v>
      </c>
      <c r="P134" s="54" t="str">
        <f t="shared" si="45"/>
        <v>NO</v>
      </c>
      <c r="Q134" s="54" t="str">
        <f t="shared" si="45"/>
        <v>NO</v>
      </c>
      <c r="R134" s="54" t="str">
        <f t="shared" si="45"/>
        <v>NO</v>
      </c>
      <c r="S134" s="54"/>
      <c r="T134" s="54"/>
      <c r="U134" s="54"/>
      <c r="V134" s="54"/>
      <c r="W134" s="54"/>
      <c r="X134" s="54"/>
      <c r="Y134" s="54"/>
      <c r="Z134" s="54"/>
      <c r="AA134" s="54"/>
      <c r="AB134" s="54"/>
      <c r="AC134" s="54"/>
      <c r="AD134" s="54"/>
      <c r="AE134" s="54"/>
      <c r="AF134" s="54"/>
    </row>
    <row r="135" spans="2:32" ht="12.75">
      <c r="B135" s="10"/>
      <c r="C135" s="10"/>
      <c r="D135" s="10"/>
      <c r="E135" s="10"/>
      <c r="F135" s="10"/>
      <c r="G135" s="10"/>
      <c r="H135" s="10">
        <f t="shared" si="43"/>
        <v>-5785227.775630259</v>
      </c>
      <c r="I135" s="54"/>
      <c r="J135" s="54"/>
      <c r="K135" s="57">
        <f t="shared" si="44"/>
        <v>0</v>
      </c>
      <c r="L135" s="53">
        <f>Prob_up^0*Prob_down^6</f>
        <v>0.000244140625</v>
      </c>
      <c r="M135" s="54" t="str">
        <f t="shared" si="45"/>
        <v>NO</v>
      </c>
      <c r="N135" s="54"/>
      <c r="O135" s="54"/>
      <c r="P135" s="54"/>
      <c r="Q135" s="54"/>
      <c r="R135" s="54"/>
      <c r="S135" s="54"/>
      <c r="T135" s="54"/>
      <c r="U135" s="54"/>
      <c r="V135" s="54"/>
      <c r="W135" s="54"/>
      <c r="X135" s="54"/>
      <c r="Y135" s="54"/>
      <c r="Z135" s="54"/>
      <c r="AA135" s="54"/>
      <c r="AB135" s="54"/>
      <c r="AC135" s="54"/>
      <c r="AD135" s="54"/>
      <c r="AE135" s="54"/>
      <c r="AF135" s="54"/>
    </row>
    <row r="136" spans="2:32" ht="12.75">
      <c r="B136" s="54"/>
      <c r="C136" s="54"/>
      <c r="D136" s="54"/>
      <c r="E136" s="54"/>
      <c r="F136" s="54"/>
      <c r="G136" s="54"/>
      <c r="H136" s="54"/>
      <c r="I136" s="54"/>
      <c r="J136" s="54"/>
      <c r="K136" s="60">
        <f>SUM(K129:K135)</f>
        <v>0.67236328125</v>
      </c>
      <c r="L136" s="54"/>
      <c r="M136" s="54"/>
      <c r="N136" s="54"/>
      <c r="O136" s="54"/>
      <c r="P136" s="54"/>
      <c r="Q136" s="54"/>
      <c r="R136" s="54"/>
      <c r="S136" s="54"/>
      <c r="T136" s="54"/>
      <c r="U136" s="54"/>
      <c r="V136" s="54"/>
      <c r="W136" s="54"/>
      <c r="X136" s="54"/>
      <c r="Y136" s="54"/>
      <c r="Z136" s="54"/>
      <c r="AA136" s="54"/>
      <c r="AB136" s="54"/>
      <c r="AC136" s="54"/>
      <c r="AD136" s="54"/>
      <c r="AE136" s="54"/>
      <c r="AF136" s="54"/>
    </row>
    <row r="137" spans="1:2" ht="12.75">
      <c r="A137" s="3" t="s">
        <v>45</v>
      </c>
      <c r="B137" s="10">
        <f>B103</f>
        <v>211912.40091849008</v>
      </c>
    </row>
    <row r="138" spans="1:24" ht="12.75">
      <c r="A138" s="46" t="s">
        <v>46</v>
      </c>
      <c r="B138" s="10">
        <f>B79</f>
        <v>-398111.6171109976</v>
      </c>
      <c r="J138" s="3" t="s">
        <v>26</v>
      </c>
      <c r="Q138" s="53"/>
      <c r="R138" s="53"/>
      <c r="S138" s="53"/>
      <c r="T138" s="53"/>
      <c r="U138" s="53"/>
      <c r="V138" s="53"/>
      <c r="W138" s="53"/>
      <c r="X138" s="53"/>
    </row>
    <row r="139" spans="1:24" ht="12.75">
      <c r="A139" s="21" t="s">
        <v>47</v>
      </c>
      <c r="B139" s="48">
        <f>B137-B138</f>
        <v>610024.0180294877</v>
      </c>
      <c r="C139" s="49" t="s">
        <v>61</v>
      </c>
      <c r="J139" s="3" t="s">
        <v>12</v>
      </c>
      <c r="K139" s="65" t="s">
        <v>23</v>
      </c>
      <c r="L139" s="65" t="s">
        <v>22</v>
      </c>
      <c r="M139" s="3"/>
      <c r="N139" s="3" t="s">
        <v>12</v>
      </c>
      <c r="O139" s="3" t="s">
        <v>24</v>
      </c>
      <c r="P139" s="65" t="s">
        <v>22</v>
      </c>
      <c r="Q139" s="63"/>
      <c r="R139" s="63"/>
      <c r="S139" s="63"/>
      <c r="T139" s="63"/>
      <c r="U139" s="63"/>
      <c r="V139" s="63"/>
      <c r="W139" s="63"/>
      <c r="X139" s="63"/>
    </row>
    <row r="140" spans="1:17" ht="12.75">
      <c r="A140" s="21" t="s">
        <v>48</v>
      </c>
      <c r="J140" s="62">
        <f>$L$125</f>
        <v>0.000244140625</v>
      </c>
      <c r="K140" s="63">
        <f>$M$125</f>
        <v>-18976039.68770992</v>
      </c>
      <c r="L140" s="62">
        <f>J140</f>
        <v>0.000244140625</v>
      </c>
      <c r="N140" s="62">
        <f>$L$58</f>
        <v>0.000244140625</v>
      </c>
      <c r="O140" s="63">
        <f>$M$58</f>
        <v>-18976039.68770992</v>
      </c>
      <c r="P140" s="62">
        <f>N140</f>
        <v>0.000244140625</v>
      </c>
      <c r="Q140" s="10"/>
    </row>
    <row r="141" spans="10:17" ht="12.75">
      <c r="J141" s="62">
        <f>$L$124</f>
        <v>0.000732421875</v>
      </c>
      <c r="K141" s="63">
        <f>$R$124</f>
        <v>-18360440.26809799</v>
      </c>
      <c r="L141" s="62">
        <f aca="true" t="shared" si="46" ref="L141:L203">L140+J141</f>
        <v>0.0009765625</v>
      </c>
      <c r="N141" s="62">
        <f>$L$57</f>
        <v>0.000732421875</v>
      </c>
      <c r="O141" s="63">
        <f>$R$57</f>
        <v>-18360440.26809799</v>
      </c>
      <c r="P141" s="62">
        <f aca="true" t="shared" si="47" ref="P141:P203">P140+N141</f>
        <v>0.0009765625</v>
      </c>
      <c r="Q141" s="10"/>
    </row>
    <row r="142" spans="10:17" ht="12.75">
      <c r="J142" s="62">
        <f>$L$124</f>
        <v>0.000732421875</v>
      </c>
      <c r="K142" s="63">
        <f>$Q$124</f>
        <v>-17598456.583269916</v>
      </c>
      <c r="L142" s="62">
        <f t="shared" si="46"/>
        <v>0.001708984375</v>
      </c>
      <c r="N142" s="62">
        <f>$L$57</f>
        <v>0.000732421875</v>
      </c>
      <c r="O142" s="63">
        <f>$Q$57</f>
        <v>-17598456.583269916</v>
      </c>
      <c r="P142" s="62">
        <f t="shared" si="47"/>
        <v>0.001708984375</v>
      </c>
      <c r="Q142" s="10"/>
    </row>
    <row r="143" spans="10:17" ht="12.75">
      <c r="J143" s="62">
        <f>$L$123</f>
        <v>0.002197265625</v>
      </c>
      <c r="K143" s="63">
        <f>$AA$123</f>
        <v>-16846561.754234105</v>
      </c>
      <c r="L143" s="62">
        <f t="shared" si="46"/>
        <v>0.00390625</v>
      </c>
      <c r="N143" s="62">
        <f>$L$56</f>
        <v>0.002197265625</v>
      </c>
      <c r="O143" s="63">
        <f>$AA$56</f>
        <v>-16846561.754234105</v>
      </c>
      <c r="P143" s="62">
        <f t="shared" si="47"/>
        <v>0.00390625</v>
      </c>
      <c r="Q143" s="10"/>
    </row>
    <row r="144" spans="10:17" ht="12.75">
      <c r="J144" s="62">
        <f>$L$124</f>
        <v>0.000732421875</v>
      </c>
      <c r="K144" s="63">
        <f>$P$124</f>
        <v>-16655279.709727395</v>
      </c>
      <c r="L144" s="62">
        <f t="shared" si="46"/>
        <v>0.004638671875</v>
      </c>
      <c r="N144" s="62">
        <f>$L$57</f>
        <v>0.000732421875</v>
      </c>
      <c r="O144" s="63">
        <f>$P$57</f>
        <v>-16655279.709727397</v>
      </c>
      <c r="P144" s="62">
        <f t="shared" si="47"/>
        <v>0.004638671875</v>
      </c>
      <c r="Q144" s="10"/>
    </row>
    <row r="145" spans="10:17" ht="12.75">
      <c r="J145" s="62">
        <f>$L$123</f>
        <v>0.002197265625</v>
      </c>
      <c r="K145" s="63">
        <f>$Z$123</f>
        <v>-15903384.880691588</v>
      </c>
      <c r="L145" s="62">
        <f t="shared" si="46"/>
        <v>0.0068359375</v>
      </c>
      <c r="N145" s="62">
        <f>$L$56</f>
        <v>0.002197265625</v>
      </c>
      <c r="O145" s="63">
        <f>$Z$56</f>
        <v>-15903384.880691588</v>
      </c>
      <c r="P145" s="62">
        <f t="shared" si="47"/>
        <v>0.0068359375</v>
      </c>
      <c r="Q145" s="10"/>
    </row>
    <row r="146" spans="10:16" ht="12.75">
      <c r="J146" s="62">
        <f>$L$124</f>
        <v>0.000732421875</v>
      </c>
      <c r="K146" s="63">
        <f>$O$124</f>
        <v>-15487823.460337806</v>
      </c>
      <c r="L146" s="62">
        <f t="shared" si="46"/>
        <v>0.007568359375</v>
      </c>
      <c r="N146" s="62">
        <f>$L$57</f>
        <v>0.000732421875</v>
      </c>
      <c r="O146" s="63">
        <f>$O$57</f>
        <v>-15487823.460337808</v>
      </c>
      <c r="P146" s="62">
        <f t="shared" si="47"/>
        <v>0.007568359375</v>
      </c>
    </row>
    <row r="147" spans="10:16" ht="12.75">
      <c r="J147" s="62">
        <f>$L$123</f>
        <v>0.002197265625</v>
      </c>
      <c r="K147" s="63">
        <f>$Y$123</f>
        <v>-14972695.90636953</v>
      </c>
      <c r="L147" s="62">
        <f t="shared" si="46"/>
        <v>0.009765625</v>
      </c>
      <c r="N147" s="62">
        <f>$L$56</f>
        <v>0.002197265625</v>
      </c>
      <c r="O147" s="63">
        <f>$Y$56</f>
        <v>-14972695.90636953</v>
      </c>
      <c r="P147" s="62">
        <f t="shared" si="47"/>
        <v>0.009765625</v>
      </c>
    </row>
    <row r="148" spans="10:16" ht="12.75">
      <c r="J148" s="62">
        <f>$L$123</f>
        <v>0.002197265625</v>
      </c>
      <c r="K148" s="63">
        <f>$X$123</f>
        <v>-14735928.631302</v>
      </c>
      <c r="L148" s="62">
        <f t="shared" si="46"/>
        <v>0.011962890625</v>
      </c>
      <c r="N148" s="62">
        <f>$L$56</f>
        <v>0.002197265625</v>
      </c>
      <c r="O148" s="63">
        <f>$X$56</f>
        <v>-14735928.631302</v>
      </c>
      <c r="P148" s="62">
        <f t="shared" si="47"/>
        <v>0.011962890625</v>
      </c>
    </row>
    <row r="149" spans="10:16" ht="12.75">
      <c r="J149" s="62">
        <f>$L$122</f>
        <v>0.006591796875</v>
      </c>
      <c r="K149" s="63">
        <f>$AF$122</f>
        <v>-14054329.488338824</v>
      </c>
      <c r="L149" s="62">
        <f t="shared" si="46"/>
        <v>0.0185546875</v>
      </c>
      <c r="N149" s="62">
        <f>$L$55</f>
        <v>0.006591796875</v>
      </c>
      <c r="O149" s="63">
        <f>$AF$55</f>
        <v>-14054329.488338822</v>
      </c>
      <c r="P149" s="62">
        <f t="shared" si="47"/>
        <v>0.0185546875</v>
      </c>
    </row>
    <row r="150" spans="10:16" ht="12.75">
      <c r="J150" s="62">
        <f>$L$124</f>
        <v>0.000732421875</v>
      </c>
      <c r="K150" s="63">
        <f>$N$124</f>
        <v>-14042756.121992636</v>
      </c>
      <c r="L150" s="62">
        <f t="shared" si="46"/>
        <v>0.019287109375</v>
      </c>
      <c r="N150" s="62">
        <f>$L$57</f>
        <v>0.000732421875</v>
      </c>
      <c r="O150" s="63">
        <f>$N$57</f>
        <v>-14042756.121992636</v>
      </c>
      <c r="P150" s="62">
        <f t="shared" si="47"/>
        <v>0.019287109375</v>
      </c>
    </row>
    <row r="151" spans="10:16" ht="12.75">
      <c r="J151" s="62">
        <f>$L$123</f>
        <v>0.002197265625</v>
      </c>
      <c r="K151" s="63">
        <f>$W$123</f>
        <v>-13805239.65697994</v>
      </c>
      <c r="L151" s="62">
        <f t="shared" si="46"/>
        <v>0.021484375</v>
      </c>
      <c r="N151" s="62">
        <f>$L$56</f>
        <v>0.002197265625</v>
      </c>
      <c r="O151" s="63">
        <f>$W$56</f>
        <v>-13805239.65697994</v>
      </c>
      <c r="P151" s="62">
        <f t="shared" si="47"/>
        <v>0.021484375</v>
      </c>
    </row>
    <row r="152" spans="10:16" ht="12">
      <c r="J152" s="62">
        <f>$L$123</f>
        <v>0.002197265625</v>
      </c>
      <c r="K152" s="63">
        <f>$U$123</f>
        <v>-13290861.29295683</v>
      </c>
      <c r="L152" s="62">
        <f t="shared" si="46"/>
        <v>0.023681640625</v>
      </c>
      <c r="N152" s="62">
        <f>$L$56</f>
        <v>0.002197265625</v>
      </c>
      <c r="O152" s="63">
        <f>$U$56</f>
        <v>-13290861.292956827</v>
      </c>
      <c r="P152" s="62">
        <f t="shared" si="47"/>
        <v>0.023681640625</v>
      </c>
    </row>
    <row r="153" spans="10:16" ht="12">
      <c r="J153" s="62">
        <f>$L$122</f>
        <v>0.006591796875</v>
      </c>
      <c r="K153" s="63">
        <f>$AE$122</f>
        <v>-12886873.238949236</v>
      </c>
      <c r="L153" s="62">
        <f t="shared" si="46"/>
        <v>0.0302734375</v>
      </c>
      <c r="N153" s="62">
        <f>$L$55</f>
        <v>0.006591796875</v>
      </c>
      <c r="O153" s="63">
        <f>$AE$55</f>
        <v>-12886873.238949234</v>
      </c>
      <c r="P153" s="62">
        <f t="shared" si="47"/>
        <v>0.0302734375</v>
      </c>
    </row>
    <row r="154" spans="10:16" ht="12">
      <c r="J154" s="62">
        <f>$L$123</f>
        <v>0.002197265625</v>
      </c>
      <c r="K154" s="63">
        <f>$V$123</f>
        <v>-12653240.82220222</v>
      </c>
      <c r="L154" s="62">
        <f t="shared" si="46"/>
        <v>0.032470703125</v>
      </c>
      <c r="N154" s="62">
        <f>$L$56</f>
        <v>0.002197265625</v>
      </c>
      <c r="O154" s="63">
        <f>$V$56</f>
        <v>-12653240.822202222</v>
      </c>
      <c r="P154" s="62">
        <f t="shared" si="47"/>
        <v>0.032470703125</v>
      </c>
    </row>
    <row r="155" spans="10:16" ht="12">
      <c r="J155" s="62">
        <f>$L$123</f>
        <v>0.002197265625</v>
      </c>
      <c r="K155" s="63">
        <f>$T$123</f>
        <v>-12360172.31863477</v>
      </c>
      <c r="L155" s="62">
        <f t="shared" si="46"/>
        <v>0.03466796875</v>
      </c>
      <c r="N155" s="62">
        <f>$L$56</f>
        <v>0.002197265625</v>
      </c>
      <c r="O155" s="63">
        <f>$T$56</f>
        <v>-12360172.318634769</v>
      </c>
      <c r="P155" s="62">
        <f t="shared" si="47"/>
        <v>0.03466796875</v>
      </c>
    </row>
    <row r="156" spans="10:16" ht="12">
      <c r="J156" s="62">
        <f>$L$124</f>
        <v>0.000732421875</v>
      </c>
      <c r="K156" s="63">
        <f>$M$124</f>
        <v>-12254064.157352563</v>
      </c>
      <c r="L156" s="62">
        <f t="shared" si="46"/>
        <v>0.035400390625</v>
      </c>
      <c r="N156" s="62">
        <f>$L$57</f>
        <v>0.000732421875</v>
      </c>
      <c r="O156" s="63">
        <f>$M$57</f>
        <v>-12254064.157352565</v>
      </c>
      <c r="P156" s="62">
        <f t="shared" si="47"/>
        <v>0.035400390625</v>
      </c>
    </row>
    <row r="157" spans="10:16" ht="12">
      <c r="J157" s="62">
        <f>$L$122</f>
        <v>0.006591796875</v>
      </c>
      <c r="K157" s="63">
        <f>$AD$122</f>
        <v>-11734874.404171515</v>
      </c>
      <c r="L157" s="62">
        <f t="shared" si="46"/>
        <v>0.0419921875</v>
      </c>
      <c r="N157" s="62">
        <f>$L$55</f>
        <v>0.006591796875</v>
      </c>
      <c r="O157" s="63">
        <f>$AD$55</f>
        <v>-11734874.404171515</v>
      </c>
      <c r="P157" s="62">
        <f t="shared" si="47"/>
        <v>0.0419921875</v>
      </c>
    </row>
    <row r="158" spans="10:16" ht="12">
      <c r="J158" s="62">
        <f>$L$123</f>
        <v>0.002197265625</v>
      </c>
      <c r="K158" s="63">
        <f>$Q$123</f>
        <v>-11502169.328316756</v>
      </c>
      <c r="L158" s="62">
        <f t="shared" si="46"/>
        <v>0.044189453125</v>
      </c>
      <c r="N158" s="62">
        <f>$L$56</f>
        <v>0.002197265625</v>
      </c>
      <c r="O158" s="63">
        <f>$Q$56</f>
        <v>-11502169.328316756</v>
      </c>
      <c r="P158" s="62">
        <f t="shared" si="47"/>
        <v>0.044189453125</v>
      </c>
    </row>
    <row r="159" spans="10:16" ht="12">
      <c r="J159" s="62">
        <f>$L$122</f>
        <v>0.006591796875</v>
      </c>
      <c r="K159" s="63">
        <f>$AB$122</f>
        <v>-11441805.900604066</v>
      </c>
      <c r="L159" s="62">
        <f t="shared" si="46"/>
        <v>0.05078125</v>
      </c>
      <c r="N159" s="62">
        <f>$L$55</f>
        <v>0.006591796875</v>
      </c>
      <c r="O159" s="63">
        <f>$AB$55</f>
        <v>-11441805.900604062</v>
      </c>
      <c r="P159" s="62">
        <f t="shared" si="47"/>
        <v>0.05078125</v>
      </c>
    </row>
    <row r="160" spans="10:16" ht="12">
      <c r="J160" s="62">
        <f>$L$123</f>
        <v>0.002197265625</v>
      </c>
      <c r="K160" s="63">
        <f>$S$123</f>
        <v>-11208173.48385705</v>
      </c>
      <c r="L160" s="62">
        <f t="shared" si="46"/>
        <v>0.052978515625</v>
      </c>
      <c r="N160" s="62">
        <f>$L$56</f>
        <v>0.002197265625</v>
      </c>
      <c r="O160" s="63">
        <f>$S$56</f>
        <v>-11208173.483857052</v>
      </c>
      <c r="P160" s="62">
        <f t="shared" si="47"/>
        <v>0.052978515625</v>
      </c>
    </row>
    <row r="161" spans="10:16" ht="12">
      <c r="J161" s="62">
        <f>$L$122</f>
        <v>0.006591796875</v>
      </c>
      <c r="K161" s="63">
        <f>$AC$122</f>
        <v>-10598128.323945295</v>
      </c>
      <c r="L161" s="62">
        <f t="shared" si="46"/>
        <v>0.0595703125</v>
      </c>
      <c r="N161" s="62">
        <f>$L$55</f>
        <v>0.006591796875</v>
      </c>
      <c r="O161" s="63">
        <f>$AC$55</f>
        <v>-10598128.323945295</v>
      </c>
      <c r="P161" s="62">
        <f t="shared" si="47"/>
        <v>0.0595703125</v>
      </c>
    </row>
    <row r="162" spans="10:16" ht="12">
      <c r="J162" s="62">
        <f>$L$123</f>
        <v>0.002197265625</v>
      </c>
      <c r="K162" s="63">
        <f>$P$123</f>
        <v>-10571480.353994697</v>
      </c>
      <c r="L162" s="62">
        <f t="shared" si="46"/>
        <v>0.061767578125</v>
      </c>
      <c r="N162" s="62">
        <f>$L$56</f>
        <v>0.002197265625</v>
      </c>
      <c r="O162" s="63">
        <f>$P$56</f>
        <v>-10571480.353994697</v>
      </c>
      <c r="P162" s="62">
        <f t="shared" si="47"/>
        <v>0.061767578125</v>
      </c>
    </row>
    <row r="163" spans="10:16" ht="12">
      <c r="J163" s="62">
        <f>$L$122</f>
        <v>0.006591796875</v>
      </c>
      <c r="K163" s="63">
        <f>$AA$122</f>
        <v>-10289807.065826345</v>
      </c>
      <c r="L163" s="62">
        <f t="shared" si="46"/>
        <v>0.068359375</v>
      </c>
      <c r="N163" s="62">
        <f>$L$55</f>
        <v>0.006591796875</v>
      </c>
      <c r="O163" s="63">
        <f>$AA$55</f>
        <v>-10289807.065826345</v>
      </c>
      <c r="P163" s="62">
        <f t="shared" si="47"/>
        <v>0.068359375</v>
      </c>
    </row>
    <row r="164" spans="10:16" ht="12">
      <c r="J164" s="62">
        <f>$L$123</f>
        <v>0.002197265625</v>
      </c>
      <c r="K164" s="63">
        <f>$R$123</f>
        <v>-9782239.20082128</v>
      </c>
      <c r="L164" s="62">
        <f t="shared" si="46"/>
        <v>0.070556640625</v>
      </c>
      <c r="N164" s="62">
        <f>$L$56</f>
        <v>0.002197265625</v>
      </c>
      <c r="O164" s="63">
        <f>$R$56</f>
        <v>-9782239.20082128</v>
      </c>
      <c r="P164" s="62">
        <f t="shared" si="47"/>
        <v>0.070556640625</v>
      </c>
    </row>
    <row r="165" spans="10:16" ht="12">
      <c r="J165" s="62">
        <f>$L$122</f>
        <v>0.006591796875</v>
      </c>
      <c r="K165" s="63">
        <f>$V$122</f>
        <v>-9653113.935963992</v>
      </c>
      <c r="L165" s="62">
        <f t="shared" si="46"/>
        <v>0.0771484375</v>
      </c>
      <c r="N165" s="62">
        <f>$L$55</f>
        <v>0.006591796875</v>
      </c>
      <c r="O165" s="63">
        <f>$V$55</f>
        <v>-9653113.93596399</v>
      </c>
      <c r="P165" s="62">
        <f t="shared" si="47"/>
        <v>0.0771484375</v>
      </c>
    </row>
    <row r="166" spans="10:16" ht="12">
      <c r="J166" s="62">
        <f>$L$121</f>
        <v>0.019775390625</v>
      </c>
      <c r="K166" s="63">
        <f>$AA$121</f>
        <v>-9476433.047960915</v>
      </c>
      <c r="L166" s="62">
        <f t="shared" si="46"/>
        <v>0.096923828125</v>
      </c>
      <c r="N166" s="62">
        <f>$L$54</f>
        <v>0.019775390625</v>
      </c>
      <c r="O166" s="63">
        <f>$AA$54</f>
        <v>-9476433.047960915</v>
      </c>
      <c r="P166" s="62">
        <f t="shared" si="47"/>
        <v>0.096923828125</v>
      </c>
    </row>
    <row r="167" spans="10:16" ht="12">
      <c r="J167" s="62">
        <f>$L$123</f>
        <v>0.002197265625</v>
      </c>
      <c r="K167" s="63">
        <f>$O$123</f>
        <v>-9419481.519216979</v>
      </c>
      <c r="L167" s="62">
        <f t="shared" si="46"/>
        <v>0.09912109375</v>
      </c>
      <c r="N167" s="62">
        <f>$L$56</f>
        <v>0.002197265625</v>
      </c>
      <c r="O167" s="63">
        <f>$O$56</f>
        <v>-9419481.519216979</v>
      </c>
      <c r="P167" s="62">
        <f t="shared" si="47"/>
        <v>0.09912109375</v>
      </c>
    </row>
    <row r="168" spans="10:16" ht="12">
      <c r="J168" s="62">
        <f>$L$122</f>
        <v>0.006591796875</v>
      </c>
      <c r="K168" s="63">
        <f>$Z$122</f>
        <v>-9153060.985600125</v>
      </c>
      <c r="L168" s="62">
        <f t="shared" si="46"/>
        <v>0.105712890625</v>
      </c>
      <c r="N168" s="62">
        <f>$L$55</f>
        <v>0.006591796875</v>
      </c>
      <c r="O168" s="63">
        <f>$Z$55</f>
        <v>-9153060.985600123</v>
      </c>
      <c r="P168" s="62">
        <f t="shared" si="47"/>
        <v>0.105712890625</v>
      </c>
    </row>
    <row r="169" spans="10:16" ht="12">
      <c r="J169" s="62">
        <f>$L$122</f>
        <v>0.006591796875</v>
      </c>
      <c r="K169" s="63">
        <f>$Y$122</f>
        <v>-8863872.782790573</v>
      </c>
      <c r="L169" s="62">
        <f t="shared" si="46"/>
        <v>0.1123046875</v>
      </c>
      <c r="N169" s="62">
        <f>$L$55</f>
        <v>0.006591796875</v>
      </c>
      <c r="O169" s="63">
        <f>$Y$55</f>
        <v>-8863872.782790573</v>
      </c>
      <c r="P169" s="62">
        <f t="shared" si="47"/>
        <v>0.1123046875</v>
      </c>
    </row>
    <row r="170" spans="10:16" ht="12">
      <c r="J170" s="62">
        <f>$L$122</f>
        <v>0.006591796875</v>
      </c>
      <c r="K170" s="63">
        <f>$U$122</f>
        <v>-8501115.101186272</v>
      </c>
      <c r="L170" s="62">
        <f t="shared" si="46"/>
        <v>0.118896484375</v>
      </c>
      <c r="N170" s="62">
        <f>$L$55</f>
        <v>0.006591796875</v>
      </c>
      <c r="O170" s="63">
        <f>$U$55</f>
        <v>-8501115.101186272</v>
      </c>
      <c r="P170" s="62">
        <f t="shared" si="47"/>
        <v>0.118896484375</v>
      </c>
    </row>
    <row r="171" spans="10:16" ht="12">
      <c r="J171" s="62">
        <f>$L$121</f>
        <v>0.019775390625</v>
      </c>
      <c r="K171" s="63">
        <f>$Z$121</f>
        <v>-8031365.709615743</v>
      </c>
      <c r="L171" s="62">
        <f t="shared" si="46"/>
        <v>0.138671875</v>
      </c>
      <c r="N171" s="62">
        <f>$L$54</f>
        <v>0.019775390625</v>
      </c>
      <c r="O171" s="63">
        <f>$Z$54</f>
        <v>-8031365.709615743</v>
      </c>
      <c r="P171" s="62">
        <f t="shared" si="47"/>
        <v>0.138671875</v>
      </c>
    </row>
    <row r="172" spans="10:16" ht="12">
      <c r="J172" s="62">
        <f>$L$123</f>
        <v>0.002197265625</v>
      </c>
      <c r="K172" s="63">
        <f>$N$123</f>
        <v>-7993547.236181207</v>
      </c>
      <c r="L172" s="62">
        <f t="shared" si="46"/>
        <v>0.140869140625</v>
      </c>
      <c r="N172" s="62">
        <f>$L$56</f>
        <v>0.002197265625</v>
      </c>
      <c r="O172" s="63">
        <f>$N$56</f>
        <v>-7993547.236181207</v>
      </c>
      <c r="P172" s="62">
        <f t="shared" si="47"/>
        <v>0.140869140625</v>
      </c>
    </row>
    <row r="173" spans="10:16" ht="12">
      <c r="J173" s="62">
        <f>$L$122</f>
        <v>0.006591796875</v>
      </c>
      <c r="K173" s="63">
        <f>$X$122</f>
        <v>-7727126.702564352</v>
      </c>
      <c r="L173" s="62">
        <f t="shared" si="46"/>
        <v>0.1474609375</v>
      </c>
      <c r="N173" s="62">
        <f>$L$55</f>
        <v>0.006591796875</v>
      </c>
      <c r="O173" s="63">
        <f>$X$55</f>
        <v>-7727126.702564352</v>
      </c>
      <c r="P173" s="62">
        <f t="shared" si="47"/>
        <v>0.1474609375</v>
      </c>
    </row>
    <row r="174" spans="10:16" ht="12">
      <c r="J174" s="62">
        <f>$L$122</f>
        <v>0.006591796875</v>
      </c>
      <c r="K174" s="63">
        <f>$T$122</f>
        <v>-7364369.020960052</v>
      </c>
      <c r="L174" s="62">
        <f t="shared" si="46"/>
        <v>0.154052734375</v>
      </c>
      <c r="N174" s="62">
        <f>$L$55</f>
        <v>0.006591796875</v>
      </c>
      <c r="O174" s="63">
        <f>$T$55</f>
        <v>-7364369.020960052</v>
      </c>
      <c r="P174" s="62">
        <f t="shared" si="47"/>
        <v>0.154052734375</v>
      </c>
    </row>
    <row r="175" spans="10:16" ht="12">
      <c r="J175" s="62">
        <f>$L$122</f>
        <v>0.006591796875</v>
      </c>
      <c r="K175" s="63">
        <f>$S$122</f>
        <v>-7075180.818150501</v>
      </c>
      <c r="L175" s="62">
        <f t="shared" si="46"/>
        <v>0.16064453125</v>
      </c>
      <c r="N175" s="62">
        <f>$L$55</f>
        <v>0.006591796875</v>
      </c>
      <c r="O175" s="63">
        <f>$S$55</f>
        <v>-7075180.818150501</v>
      </c>
      <c r="P175" s="62">
        <f t="shared" si="47"/>
        <v>0.16064453125</v>
      </c>
    </row>
    <row r="176" spans="10:16" ht="12">
      <c r="J176" s="62">
        <f>$L$121</f>
        <v>0.019775390625</v>
      </c>
      <c r="K176" s="63">
        <f>$Y$121</f>
        <v>-6605431.426579971</v>
      </c>
      <c r="L176" s="62">
        <f t="shared" si="46"/>
        <v>0.180419921875</v>
      </c>
      <c r="N176" s="62">
        <f>$L$54</f>
        <v>0.019775390625</v>
      </c>
      <c r="O176" s="63">
        <f>$Y$54</f>
        <v>-6605431.426579971</v>
      </c>
      <c r="P176" s="62">
        <f t="shared" si="47"/>
        <v>0.180419921875</v>
      </c>
    </row>
    <row r="177" spans="10:16" ht="12">
      <c r="J177" s="62">
        <f>$L$122</f>
        <v>0.006591796875</v>
      </c>
      <c r="K177" s="63">
        <f>$W$122</f>
        <v>-6320072.148369545</v>
      </c>
      <c r="L177" s="62">
        <f t="shared" si="46"/>
        <v>0.18701171875</v>
      </c>
      <c r="N177" s="62">
        <f>$L$55</f>
        <v>0.006591796875</v>
      </c>
      <c r="O177" s="63">
        <f>$W$55</f>
        <v>-6320072.148369544</v>
      </c>
      <c r="P177" s="62">
        <f t="shared" si="47"/>
        <v>0.18701171875</v>
      </c>
    </row>
    <row r="178" spans="10:16" ht="12">
      <c r="J178" s="62">
        <f>$L$121</f>
        <v>0.019775390625</v>
      </c>
      <c r="K178" s="63">
        <f>$V$121</f>
        <v>-6242673.74497567</v>
      </c>
      <c r="L178" s="62">
        <f t="shared" si="46"/>
        <v>0.206787109375</v>
      </c>
      <c r="N178" s="62">
        <f>$L$54</f>
        <v>0.019775390625</v>
      </c>
      <c r="O178" s="63">
        <f>$V$54</f>
        <v>-6242673.74497567</v>
      </c>
      <c r="P178" s="62">
        <f t="shared" si="47"/>
        <v>0.206787109375</v>
      </c>
    </row>
    <row r="179" spans="10:16" ht="12">
      <c r="J179" s="62">
        <f>$L$123</f>
        <v>0.002197265625</v>
      </c>
      <c r="K179" s="63">
        <f>$M$123</f>
        <v>-6228538.003399241</v>
      </c>
      <c r="L179" s="62">
        <f t="shared" si="46"/>
        <v>0.208984375</v>
      </c>
      <c r="N179" s="62">
        <f>$L$56</f>
        <v>0.002197265625</v>
      </c>
      <c r="O179" s="63">
        <f>$M$56</f>
        <v>-6228538.00339924</v>
      </c>
      <c r="P179" s="62">
        <f t="shared" si="47"/>
        <v>0.208984375</v>
      </c>
    </row>
    <row r="180" spans="10:16" ht="12">
      <c r="J180" s="62">
        <f>$L$122</f>
        <v>0.006591796875</v>
      </c>
      <c r="K180" s="63">
        <f>$R$122</f>
        <v>-5938434.73792428</v>
      </c>
      <c r="L180" s="62">
        <f t="shared" si="46"/>
        <v>0.215576171875</v>
      </c>
      <c r="N180" s="62">
        <f>$L$55</f>
        <v>0.006591796875</v>
      </c>
      <c r="O180" s="63">
        <f>$R$55</f>
        <v>-5938434.73792428</v>
      </c>
      <c r="P180" s="62">
        <f t="shared" si="47"/>
        <v>0.215576171875</v>
      </c>
    </row>
    <row r="181" spans="10:16" ht="12">
      <c r="J181" s="62">
        <f>$L$122</f>
        <v>0.006591796875</v>
      </c>
      <c r="K181" s="63">
        <f>$P$122</f>
        <v>-5310171.585368535</v>
      </c>
      <c r="L181" s="62">
        <f t="shared" si="46"/>
        <v>0.22216796875</v>
      </c>
      <c r="N181" s="62">
        <f>$L$55</f>
        <v>0.006591796875</v>
      </c>
      <c r="O181" s="63">
        <f>$P$55</f>
        <v>-5310171.585368534</v>
      </c>
      <c r="P181" s="62">
        <f t="shared" si="47"/>
        <v>0.22216796875</v>
      </c>
    </row>
    <row r="182" spans="10:16" ht="12">
      <c r="J182" s="62">
        <f>$L$121</f>
        <v>0.019775390625</v>
      </c>
      <c r="K182" s="63">
        <f>$X$121</f>
        <v>-5198376.872385164</v>
      </c>
      <c r="L182" s="62">
        <f t="shared" si="46"/>
        <v>0.241943359375</v>
      </c>
      <c r="N182" s="62">
        <f>$L$54</f>
        <v>0.019775390625</v>
      </c>
      <c r="O182" s="63">
        <f>$X$54</f>
        <v>-5198376.872385163</v>
      </c>
      <c r="P182" s="62">
        <f t="shared" si="47"/>
        <v>0.241943359375</v>
      </c>
    </row>
    <row r="183" spans="10:16" ht="12">
      <c r="J183" s="62">
        <f>$L$121</f>
        <v>0.019775390625</v>
      </c>
      <c r="K183" s="63">
        <f>$U$121</f>
        <v>-4816739.461939898</v>
      </c>
      <c r="L183" s="62">
        <f t="shared" si="46"/>
        <v>0.26171875</v>
      </c>
      <c r="N183" s="62">
        <f>$L$54</f>
        <v>0.019775390625</v>
      </c>
      <c r="O183" s="63">
        <f>$U$54</f>
        <v>-4816739.461939898</v>
      </c>
      <c r="P183" s="62">
        <f t="shared" si="47"/>
        <v>0.26171875</v>
      </c>
    </row>
    <row r="184" spans="10:16" ht="12">
      <c r="J184" s="62">
        <f>$L$122</f>
        <v>0.006591796875</v>
      </c>
      <c r="K184" s="63">
        <f>$Q$122</f>
        <v>-4531380.183729472</v>
      </c>
      <c r="L184" s="62">
        <f t="shared" si="46"/>
        <v>0.268310546875</v>
      </c>
      <c r="N184" s="62">
        <f>$L$55</f>
        <v>0.006591796875</v>
      </c>
      <c r="O184" s="63">
        <f>$Q$55</f>
        <v>-4531380.183729473</v>
      </c>
      <c r="P184" s="62">
        <f t="shared" si="47"/>
        <v>0.268310546875</v>
      </c>
    </row>
    <row r="185" spans="10:16" ht="12">
      <c r="J185" s="62">
        <f>$L$121</f>
        <v>0.019775390625</v>
      </c>
      <c r="K185" s="63">
        <f>$W$121</f>
        <v>-4251523.375668572</v>
      </c>
      <c r="L185" s="62">
        <f t="shared" si="46"/>
        <v>0.2880859375</v>
      </c>
      <c r="N185" s="62">
        <f>$L$55</f>
        <v>0.006591796875</v>
      </c>
      <c r="O185" s="63">
        <f>$O$55</f>
        <v>-4173425.505142312</v>
      </c>
      <c r="P185" s="62">
        <f t="shared" si="47"/>
        <v>0.27490234375</v>
      </c>
    </row>
    <row r="186" spans="10:16" ht="12">
      <c r="J186" s="62">
        <f>$L$122</f>
        <v>0.006591796875</v>
      </c>
      <c r="K186" s="63">
        <f>$O$122</f>
        <v>-4173425.505142313</v>
      </c>
      <c r="L186" s="62">
        <f t="shared" si="46"/>
        <v>0.294677734375</v>
      </c>
      <c r="N186" s="62">
        <f>$L$54</f>
        <v>0.019775390625</v>
      </c>
      <c r="O186" s="63">
        <f>$W$54</f>
        <v>-3809952.0746690948</v>
      </c>
      <c r="P186" s="62">
        <f t="shared" si="47"/>
        <v>0.294677734375</v>
      </c>
    </row>
    <row r="187" spans="10:16" ht="12">
      <c r="J187" s="62">
        <f>$L$122</f>
        <v>0.006591796875</v>
      </c>
      <c r="K187" s="63">
        <f>$M$122</f>
        <v>-3583504.653697018</v>
      </c>
      <c r="L187" s="62">
        <f t="shared" si="46"/>
        <v>0.30126953125</v>
      </c>
      <c r="N187" s="62">
        <f>$L$54</f>
        <v>0.019775390625</v>
      </c>
      <c r="O187" s="63">
        <f>$T$54</f>
        <v>-3409684.9077450912</v>
      </c>
      <c r="P187" s="62">
        <f t="shared" si="47"/>
        <v>0.314453125</v>
      </c>
    </row>
    <row r="188" spans="10:16" ht="12">
      <c r="J188" s="62">
        <f>$L$121</f>
        <v>0.019775390625</v>
      </c>
      <c r="K188" s="63">
        <f>$T$121</f>
        <v>-3409684.907745091</v>
      </c>
      <c r="L188" s="62">
        <f t="shared" si="46"/>
        <v>0.321044921875</v>
      </c>
      <c r="N188" s="62">
        <f>$L$54</f>
        <v>0.019775390625</v>
      </c>
      <c r="O188" s="63">
        <f>$R$54</f>
        <v>-3051730.229157931</v>
      </c>
      <c r="P188" s="62">
        <f t="shared" si="47"/>
        <v>0.334228515625</v>
      </c>
    </row>
    <row r="189" spans="10:16" ht="12">
      <c r="J189" s="62">
        <f>$L$121</f>
        <v>0.019775390625</v>
      </c>
      <c r="K189" s="63">
        <f>$R$121</f>
        <v>-3051730.2291579316</v>
      </c>
      <c r="L189" s="62">
        <f t="shared" si="46"/>
        <v>0.3408203125</v>
      </c>
      <c r="N189" s="62">
        <f>$L$55</f>
        <v>0.006591796875</v>
      </c>
      <c r="O189" s="63">
        <f>$N$55</f>
        <v>-2766370.950947505</v>
      </c>
      <c r="P189" s="62">
        <f t="shared" si="47"/>
        <v>0.3408203125</v>
      </c>
    </row>
    <row r="190" spans="10:16" ht="12">
      <c r="J190" s="62">
        <f>$L$122</f>
        <v>0.006591796875</v>
      </c>
      <c r="K190" s="63">
        <f>$N$122</f>
        <v>-2766370.950947505</v>
      </c>
      <c r="L190" s="62">
        <f t="shared" si="46"/>
        <v>0.347412109375</v>
      </c>
      <c r="N190" s="62">
        <f>$L$53</f>
        <v>0.059326171875</v>
      </c>
      <c r="O190" s="63">
        <f>$R$53</f>
        <v>-2439910.370766539</v>
      </c>
      <c r="P190" s="62">
        <f t="shared" si="47"/>
        <v>0.400146484375</v>
      </c>
    </row>
    <row r="191" spans="10:16" ht="12">
      <c r="J191" s="62">
        <f>$L$121</f>
        <v>0.019775390625</v>
      </c>
      <c r="K191" s="63">
        <f>$S$121</f>
        <v>-2462831.4110284997</v>
      </c>
      <c r="L191" s="62">
        <f t="shared" si="46"/>
        <v>0.3671875</v>
      </c>
      <c r="N191" s="62">
        <f>$L$54</f>
        <v>0.019775390625</v>
      </c>
      <c r="O191" s="63">
        <f>$S$54</f>
        <v>-2021260.110029023</v>
      </c>
      <c r="P191" s="62">
        <f t="shared" si="47"/>
        <v>0.419921875</v>
      </c>
    </row>
    <row r="192" spans="10:16" ht="12">
      <c r="J192" s="62">
        <f>$L$120</f>
        <v>0.059326171875</v>
      </c>
      <c r="K192" s="63">
        <f>$R$120</f>
        <v>-2059456.6494244824</v>
      </c>
      <c r="L192" s="62">
        <f t="shared" si="46"/>
        <v>0.426513671875</v>
      </c>
      <c r="N192" s="62">
        <f>$L$54</f>
        <v>0.019775390625</v>
      </c>
      <c r="O192" s="63">
        <f>$Q$54</f>
        <v>-1644675.6749631243</v>
      </c>
      <c r="P192" s="62">
        <f t="shared" si="47"/>
        <v>0.439697265625</v>
      </c>
    </row>
    <row r="193" spans="10:16" ht="12">
      <c r="J193" s="62">
        <f>$L$121</f>
        <v>0.019775390625</v>
      </c>
      <c r="K193" s="63">
        <f>$O$121</f>
        <v>-1788792.2121220091</v>
      </c>
      <c r="L193" s="62">
        <f t="shared" si="46"/>
        <v>0.4462890625</v>
      </c>
      <c r="N193" s="62">
        <f>$L$55</f>
        <v>0.006591796875</v>
      </c>
      <c r="O193" s="63">
        <f>$M$55</f>
        <v>-1024730.8846924689</v>
      </c>
      <c r="P193" s="62">
        <f t="shared" si="47"/>
        <v>0.4462890625</v>
      </c>
    </row>
    <row r="194" spans="10:16" ht="12">
      <c r="J194" s="62">
        <f>$L$121</f>
        <v>0.019775390625</v>
      </c>
      <c r="K194" s="63">
        <f>$Q$121</f>
        <v>-1644675.674963124</v>
      </c>
      <c r="L194" s="62">
        <f t="shared" si="46"/>
        <v>0.466064453125</v>
      </c>
      <c r="N194" s="62">
        <f>$L$53</f>
        <v>0.059326171875</v>
      </c>
      <c r="O194" s="63">
        <f>$Q$53</f>
        <v>-651218.4061264668</v>
      </c>
      <c r="P194" s="62">
        <f t="shared" si="47"/>
        <v>0.505615234375</v>
      </c>
    </row>
    <row r="195" spans="10:16" ht="12">
      <c r="J195" s="62">
        <f>$L$121</f>
        <v>0.019775390625</v>
      </c>
      <c r="K195" s="63">
        <f>$P$121</f>
        <v>-697822.1782465331</v>
      </c>
      <c r="L195" s="62">
        <f t="shared" si="46"/>
        <v>0.48583984375</v>
      </c>
      <c r="N195" s="62">
        <f>$L$54</f>
        <v>0.019775390625</v>
      </c>
      <c r="O195" s="63">
        <f>$P$54</f>
        <v>-256250.8772470561</v>
      </c>
      <c r="P195" s="62">
        <f t="shared" si="47"/>
        <v>0.525390625</v>
      </c>
    </row>
    <row r="196" spans="10:16" ht="12">
      <c r="J196" s="62">
        <f>$L$120</f>
        <v>0.059326171875</v>
      </c>
      <c r="K196" s="63">
        <f>$Q$120</f>
        <v>-270764.6847844095</v>
      </c>
      <c r="L196" s="62">
        <f t="shared" si="46"/>
        <v>0.545166015625</v>
      </c>
      <c r="N196" s="62">
        <f>$L$54</f>
        <v>0.019775390625</v>
      </c>
      <c r="O196" s="63">
        <f>$O$54</f>
        <v>96964.39129191183</v>
      </c>
      <c r="P196" s="62">
        <f t="shared" si="47"/>
        <v>0.545166015625</v>
      </c>
    </row>
    <row r="197" spans="10:16" ht="12">
      <c r="J197" s="62">
        <f>$L$121</f>
        <v>0.019775390625</v>
      </c>
      <c r="K197" s="63">
        <f>$N$121</f>
        <v>432687.4642237007</v>
      </c>
      <c r="L197" s="62">
        <f t="shared" si="46"/>
        <v>0.56494140625</v>
      </c>
      <c r="N197" s="62">
        <f>$L$53</f>
        <v>0.059326171875</v>
      </c>
      <c r="O197" s="63">
        <f>$P$53</f>
        <v>1113790.8266555</v>
      </c>
      <c r="P197" s="62">
        <f t="shared" si="47"/>
        <v>0.6044921875</v>
      </c>
    </row>
    <row r="198" spans="10:16" ht="12">
      <c r="J198" s="62">
        <f>$L$120</f>
        <v>0.059326171875</v>
      </c>
      <c r="K198" s="63">
        <f>$P$120</f>
        <v>1494244.547997557</v>
      </c>
      <c r="L198" s="62">
        <f t="shared" si="46"/>
        <v>0.624267578125</v>
      </c>
      <c r="N198" s="62">
        <f>$L$54</f>
        <v>0.019775390625</v>
      </c>
      <c r="O198" s="63">
        <f>$N$54</f>
        <v>1485389.18900798</v>
      </c>
      <c r="P198" s="62">
        <f t="shared" si="47"/>
        <v>0.624267578125</v>
      </c>
    </row>
    <row r="199" spans="10:16" ht="12">
      <c r="J199" s="62">
        <f>$L$120</f>
        <v>0.059326171875</v>
      </c>
      <c r="K199" s="63">
        <f>$O$120</f>
        <v>2624754.1904677902</v>
      </c>
      <c r="L199" s="62">
        <f t="shared" si="46"/>
        <v>0.68359375</v>
      </c>
      <c r="N199" s="62">
        <f>$L$53</f>
        <v>0.059326171875</v>
      </c>
      <c r="O199" s="63">
        <f>$O$53</f>
        <v>2855430.8929105364</v>
      </c>
      <c r="P199" s="62">
        <f t="shared" si="47"/>
        <v>0.68359375</v>
      </c>
    </row>
    <row r="200" spans="10:16" ht="12">
      <c r="J200" s="62">
        <f>$L$121</f>
        <v>0.019775390625</v>
      </c>
      <c r="K200" s="63">
        <f>$M$121</f>
        <v>3182415.9656242873</v>
      </c>
      <c r="L200" s="62">
        <f t="shared" si="46"/>
        <v>0.703369140625</v>
      </c>
      <c r="N200" s="62">
        <f>$L$54</f>
        <v>0.019775390625</v>
      </c>
      <c r="O200" s="63">
        <f>$M$54</f>
        <v>3203969.5023833467</v>
      </c>
      <c r="P200" s="62">
        <f t="shared" si="47"/>
        <v>0.703369140625</v>
      </c>
    </row>
    <row r="201" spans="10:16" ht="12">
      <c r="J201" s="62">
        <f>$L$120</f>
        <v>0.059326171875</v>
      </c>
      <c r="K201" s="63">
        <f>$N$120</f>
        <v>5374482.691868377</v>
      </c>
      <c r="L201" s="62">
        <f t="shared" si="46"/>
        <v>0.7626953125</v>
      </c>
      <c r="N201" s="62">
        <f>$L$53</f>
        <v>0.059326171875</v>
      </c>
      <c r="O201" s="63">
        <f>$N$53</f>
        <v>4574011.206285903</v>
      </c>
      <c r="P201" s="62">
        <f t="shared" si="47"/>
        <v>0.7626953125</v>
      </c>
    </row>
    <row r="202" spans="10:16" ht="12">
      <c r="J202" s="62">
        <f>$L$120</f>
        <v>0.059326171875</v>
      </c>
      <c r="K202" s="63">
        <f>$M$120</f>
        <v>8087804.095753789</v>
      </c>
      <c r="L202" s="62">
        <f t="shared" si="46"/>
        <v>0.822021484375</v>
      </c>
      <c r="N202" s="62">
        <f>$L$53</f>
        <v>0.059326171875</v>
      </c>
      <c r="O202" s="63">
        <f>$M$53</f>
        <v>6269837.083714285</v>
      </c>
      <c r="P202" s="62">
        <f t="shared" si="47"/>
        <v>0.822021484375</v>
      </c>
    </row>
    <row r="203" spans="10:16" ht="12">
      <c r="J203" s="62">
        <f>$L$119</f>
        <v>0.177978515625</v>
      </c>
      <c r="K203" s="63">
        <f>$M$119</f>
        <v>10765200.441259453</v>
      </c>
      <c r="L203" s="62">
        <f t="shared" si="46"/>
        <v>1</v>
      </c>
      <c r="N203" s="62">
        <f>$L$52</f>
        <v>0.177978515625</v>
      </c>
      <c r="O203" s="63">
        <f>$M$52</f>
        <v>7943209.799655326</v>
      </c>
      <c r="P203" s="62">
        <f t="shared" si="47"/>
        <v>1</v>
      </c>
    </row>
    <row r="204" spans="9:14" ht="12">
      <c r="I204" t="s">
        <v>21</v>
      </c>
      <c r="J204" s="62">
        <f>SUM(J140:J203)</f>
        <v>1</v>
      </c>
      <c r="N204" s="62">
        <f>SUM(N140:N203)</f>
        <v>1</v>
      </c>
    </row>
  </sheetData>
  <mergeCells count="11">
    <mergeCell ref="FQ51:GJ51"/>
    <mergeCell ref="GW51:HP51"/>
    <mergeCell ref="IC51:IV51"/>
    <mergeCell ref="M51:AF51"/>
    <mergeCell ref="AS51:BL51"/>
    <mergeCell ref="BY51:CR51"/>
    <mergeCell ref="DE51:DX51"/>
    <mergeCell ref="M118:AF118"/>
    <mergeCell ref="B128:H128"/>
    <mergeCell ref="M128:AF128"/>
    <mergeCell ref="EK51:FD51"/>
  </mergeCells>
  <conditionalFormatting sqref="H111:K117 C139 L112:L117 L111:R111 C117:G117">
    <cfRule type="cellIs" priority="1" dxfId="1" operator="equal" stopIfTrue="1">
      <formula>TRUE</formula>
    </cfRule>
  </conditionalFormatting>
  <conditionalFormatting sqref="B111:G116">
    <cfRule type="cellIs" priority="2" dxfId="1" operator="equal" stopIfTrue="1">
      <formula>"YES"</formula>
    </cfRule>
  </conditionalFormatting>
  <printOptions/>
  <pageMargins left="0.75" right="0.75" top="1" bottom="1" header="0.5" footer="0.5"/>
  <pageSetup horizontalDpi="600" verticalDpi="6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Fadeev</dc:creator>
  <cp:keywords/>
  <dc:description/>
  <cp:lastModifiedBy>Michel-Alexandre Cardin</cp:lastModifiedBy>
  <dcterms:created xsi:type="dcterms:W3CDTF">2005-11-10T03:14:58Z</dcterms:created>
  <dcterms:modified xsi:type="dcterms:W3CDTF">2006-11-27T19:30:29Z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-1820301072</vt:i4>
  </property>
  <property fmtid="{D5CDD505-2E9C-101B-9397-08002B2CF9AE}" pid="3" name="_NewReviewCycle">
    <vt:lpwstr/>
  </property>
  <property fmtid="{D5CDD505-2E9C-101B-9397-08002B2CF9AE}" pid="4" name="_EmailSubject">
    <vt:lpwstr>You promised class a spreadsheet!</vt:lpwstr>
  </property>
  <property fmtid="{D5CDD505-2E9C-101B-9397-08002B2CF9AE}" pid="5" name="_AuthorEmail">
    <vt:lpwstr>afadeev@mit.edu</vt:lpwstr>
  </property>
  <property fmtid="{D5CDD505-2E9C-101B-9397-08002B2CF9AE}" pid="6" name="_AuthorEmailDisplayName">
    <vt:lpwstr>Alexander Fadeev</vt:lpwstr>
  </property>
  <property fmtid="{D5CDD505-2E9C-101B-9397-08002B2CF9AE}" pid="7" name="_ReviewingToolsShownOnce">
    <vt:lpwstr/>
  </property>
</Properties>
</file>