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15" yWindow="-105" windowWidth="15450" windowHeight="12390"/>
  </bookViews>
  <sheets>
    <sheet name="Single positive ion" sheetId="1" r:id="rId1"/>
    <sheet name="Single negative ion" sheetId="2" r:id="rId2"/>
    <sheet name="Positive ion series" sheetId="3" r:id="rId3"/>
    <sheet name="Negative ion series" sheetId="4" r:id="rId4"/>
  </sheets>
  <calcPr calcId="145621"/>
</workbook>
</file>

<file path=xl/calcChain.xml><?xml version="1.0" encoding="utf-8"?>
<calcChain xmlns="http://schemas.openxmlformats.org/spreadsheetml/2006/main">
  <c r="D8" i="4" l="1"/>
  <c r="D7" i="4"/>
  <c r="F7" i="4" s="1"/>
  <c r="D6" i="4"/>
  <c r="F6" i="4"/>
  <c r="D9" i="4"/>
  <c r="D20" i="4"/>
  <c r="D19" i="4"/>
  <c r="D18" i="4"/>
  <c r="D17" i="4"/>
  <c r="D12" i="4"/>
  <c r="D11" i="4"/>
  <c r="D10" i="4"/>
  <c r="D13" i="4"/>
  <c r="F11" i="4"/>
  <c r="F16" i="4"/>
  <c r="D16" i="4"/>
  <c r="F15" i="4"/>
  <c r="D15" i="4"/>
  <c r="F14" i="4"/>
  <c r="D14" i="4"/>
  <c r="F13" i="4"/>
  <c r="F12" i="4"/>
  <c r="F10" i="4"/>
  <c r="F9" i="4"/>
  <c r="F8" i="4"/>
  <c r="D5" i="4"/>
  <c r="F5" i="4"/>
  <c r="A6" i="4" s="1"/>
  <c r="D20" i="3"/>
  <c r="F20" i="3" s="1"/>
  <c r="D19" i="3"/>
  <c r="D18" i="3"/>
  <c r="F18" i="3" s="1"/>
  <c r="D17" i="3"/>
  <c r="D16" i="3"/>
  <c r="F16" i="3" s="1"/>
  <c r="D15" i="3"/>
  <c r="D6" i="3"/>
  <c r="F6" i="3" s="1"/>
  <c r="D7" i="3"/>
  <c r="F7" i="3" s="1"/>
  <c r="D5" i="3"/>
  <c r="F5" i="3" s="1"/>
  <c r="D8" i="3"/>
  <c r="F8" i="3" s="1"/>
  <c r="D9" i="3"/>
  <c r="F9" i="3" s="1"/>
  <c r="D10" i="3"/>
  <c r="F10" i="3" s="1"/>
  <c r="D11" i="3"/>
  <c r="F11" i="3" s="1"/>
  <c r="D12" i="3"/>
  <c r="F12" i="3" s="1"/>
  <c r="D13" i="3"/>
  <c r="F13" i="3" s="1"/>
  <c r="D14" i="3"/>
  <c r="F14" i="3" s="1"/>
  <c r="F15" i="3"/>
  <c r="F17" i="3"/>
  <c r="F19" i="3"/>
  <c r="A9" i="2"/>
  <c r="E25" i="2" s="1"/>
  <c r="E22" i="2"/>
  <c r="E18" i="2"/>
  <c r="E14" i="2"/>
  <c r="E10" i="2"/>
  <c r="E6" i="2"/>
  <c r="A10" i="1"/>
  <c r="H12" i="1"/>
  <c r="K50" i="1"/>
  <c r="K51" i="1"/>
  <c r="K52" i="1"/>
  <c r="K53" i="1"/>
  <c r="K54" i="1"/>
  <c r="K55" i="1"/>
  <c r="K56" i="1"/>
  <c r="K57" i="1"/>
  <c r="K58" i="1"/>
  <c r="K59" i="1"/>
  <c r="K60" i="1"/>
  <c r="K61" i="1"/>
  <c r="H23" i="1" s="1"/>
  <c r="K62" i="1"/>
  <c r="K63" i="1"/>
  <c r="H25" i="1" s="1"/>
  <c r="K64" i="1"/>
  <c r="H26" i="1"/>
  <c r="K65" i="1"/>
  <c r="H27" i="1"/>
  <c r="K66" i="1"/>
  <c r="H28" i="1"/>
  <c r="K67" i="1"/>
  <c r="H29" i="1"/>
  <c r="K68" i="1"/>
  <c r="H30" i="1"/>
  <c r="K69" i="1"/>
  <c r="H31" i="1"/>
  <c r="K70" i="1"/>
  <c r="H32" i="1"/>
  <c r="K71" i="1"/>
  <c r="H33" i="1"/>
  <c r="K72" i="1"/>
  <c r="H34" i="1"/>
  <c r="K73" i="1"/>
  <c r="H35" i="1"/>
  <c r="K74" i="1"/>
  <c r="H36" i="1"/>
  <c r="K75" i="1"/>
  <c r="H37" i="1"/>
  <c r="K76" i="1"/>
  <c r="H38" i="1"/>
  <c r="K77" i="1"/>
  <c r="H39" i="1"/>
  <c r="K78" i="1"/>
  <c r="H40" i="1"/>
  <c r="K79" i="1"/>
  <c r="H41" i="1"/>
  <c r="K80" i="1"/>
  <c r="H42" i="1"/>
  <c r="K81" i="1"/>
  <c r="H43" i="1"/>
  <c r="K82" i="1"/>
  <c r="H44" i="1"/>
  <c r="K83" i="1"/>
  <c r="H45" i="1"/>
  <c r="K84" i="1"/>
  <c r="H46" i="1"/>
  <c r="K49" i="1"/>
  <c r="H11" i="1"/>
  <c r="K48" i="1"/>
  <c r="H10" i="1"/>
  <c r="K47" i="1"/>
  <c r="H9" i="1"/>
  <c r="K46" i="1"/>
  <c r="H8" i="1"/>
  <c r="K45" i="1"/>
  <c r="H7" i="1"/>
  <c r="K31" i="1"/>
  <c r="E33" i="1"/>
  <c r="K32" i="1"/>
  <c r="E34" i="1"/>
  <c r="K33" i="1"/>
  <c r="E35" i="1"/>
  <c r="K34" i="1"/>
  <c r="E36" i="1"/>
  <c r="K35" i="1"/>
  <c r="E37" i="1"/>
  <c r="K36" i="1"/>
  <c r="E38" i="1"/>
  <c r="K37" i="1"/>
  <c r="E39" i="1"/>
  <c r="K38" i="1"/>
  <c r="E40" i="1"/>
  <c r="K39" i="1"/>
  <c r="E41" i="1"/>
  <c r="K40" i="1"/>
  <c r="E42" i="1"/>
  <c r="K41" i="1"/>
  <c r="E43" i="1"/>
  <c r="K42" i="1"/>
  <c r="E44" i="1"/>
  <c r="K43" i="1"/>
  <c r="E45" i="1"/>
  <c r="K44" i="1"/>
  <c r="E46" i="1"/>
  <c r="K30" i="1"/>
  <c r="E32" i="1"/>
  <c r="K13" i="1"/>
  <c r="E15" i="1"/>
  <c r="K14" i="1"/>
  <c r="E16" i="1"/>
  <c r="K15" i="1"/>
  <c r="E17" i="1"/>
  <c r="K16" i="1"/>
  <c r="E18" i="1"/>
  <c r="K17" i="1"/>
  <c r="E19" i="1"/>
  <c r="K18" i="1"/>
  <c r="E20" i="1"/>
  <c r="K19" i="1"/>
  <c r="E21" i="1"/>
  <c r="K20" i="1"/>
  <c r="E22" i="1"/>
  <c r="K21" i="1"/>
  <c r="E23" i="1"/>
  <c r="K22" i="1"/>
  <c r="E24" i="1"/>
  <c r="K23" i="1"/>
  <c r="E25" i="1"/>
  <c r="K24" i="1"/>
  <c r="E26" i="1"/>
  <c r="K25" i="1"/>
  <c r="E27" i="1"/>
  <c r="K26" i="1"/>
  <c r="E28" i="1"/>
  <c r="K27" i="1"/>
  <c r="E29" i="1"/>
  <c r="K28" i="1"/>
  <c r="E30" i="1"/>
  <c r="K29" i="1"/>
  <c r="E31" i="1"/>
  <c r="K9" i="1"/>
  <c r="E11" i="1"/>
  <c r="K8" i="1"/>
  <c r="E10" i="1"/>
  <c r="K12" i="1"/>
  <c r="E14" i="1"/>
  <c r="K11" i="1"/>
  <c r="E13" i="1"/>
  <c r="K10" i="1"/>
  <c r="E12" i="1"/>
  <c r="K7" i="1"/>
  <c r="E9" i="1"/>
  <c r="K6" i="1"/>
  <c r="E8" i="1"/>
  <c r="K5" i="1"/>
  <c r="E7" i="1"/>
  <c r="H22" i="1"/>
  <c r="H21" i="1"/>
  <c r="H20" i="1"/>
  <c r="H19" i="1"/>
  <c r="H18" i="1"/>
  <c r="H17" i="1"/>
  <c r="H16" i="1"/>
  <c r="H15" i="1"/>
  <c r="H14" i="1"/>
  <c r="H13" i="1"/>
  <c r="H24" i="1"/>
  <c r="E8" i="2" l="1"/>
  <c r="E12" i="2"/>
  <c r="E16" i="2"/>
  <c r="E20" i="2"/>
  <c r="E24" i="2"/>
  <c r="A6" i="3"/>
  <c r="E7" i="2"/>
  <c r="E9" i="2"/>
  <c r="E11" i="2"/>
  <c r="E13" i="2"/>
  <c r="E15" i="2"/>
  <c r="E17" i="2"/>
  <c r="E19" i="2"/>
  <c r="E21" i="2"/>
  <c r="E23" i="2"/>
</calcChain>
</file>

<file path=xl/sharedStrings.xml><?xml version="1.0" encoding="utf-8"?>
<sst xmlns="http://schemas.openxmlformats.org/spreadsheetml/2006/main" count="86" uniqueCount="27">
  <si>
    <t>This version for positive ions.</t>
  </si>
  <si>
    <t>Enter an ion here:</t>
  </si>
  <si>
    <t xml:space="preserve"> Enter suspected charge states here:</t>
  </si>
  <si>
    <t>Charge-state</t>
  </si>
  <si>
    <t>m/z</t>
  </si>
  <si>
    <t xml:space="preserve"> </t>
  </si>
  <si>
    <t>The ion series will be displayed in column E.</t>
  </si>
  <si>
    <t>®</t>
  </si>
  <si>
    <t>Calculated molecular weight:</t>
  </si>
  <si>
    <t>This version for negative ions.</t>
  </si>
  <si>
    <t>Enter suspected charge-states here:</t>
  </si>
  <si>
    <t>charge-state</t>
  </si>
  <si>
    <t>Number of ions:</t>
  </si>
  <si>
    <t>Enter ions in</t>
  </si>
  <si>
    <t>Use this version for positive ions!</t>
  </si>
  <si>
    <t>descending sequence</t>
  </si>
  <si>
    <t>Enter a trial charge:</t>
  </si>
  <si>
    <t>Calculated MW.</t>
  </si>
  <si>
    <t>Start here:</t>
  </si>
  <si>
    <r>
      <t>1</t>
    </r>
    <r>
      <rPr>
        <sz val="10"/>
        <rFont val="Arial"/>
      </rPr>
      <t>. Enter a suspected ion series.</t>
    </r>
  </si>
  <si>
    <r>
      <t>2</t>
    </r>
    <r>
      <rPr>
        <sz val="10"/>
        <rFont val="Arial"/>
      </rPr>
      <t>. Put the number of entries in B1.</t>
    </r>
  </si>
  <si>
    <r>
      <t>3</t>
    </r>
    <r>
      <rPr>
        <sz val="10"/>
        <rFont val="Arial"/>
      </rPr>
      <t>. Change the number in B3 until</t>
    </r>
  </si>
  <si>
    <t>the values in column F converge.</t>
  </si>
  <si>
    <t>To restart, delete the ions in C, or</t>
  </si>
  <si>
    <t>overwrite with new ions.</t>
  </si>
  <si>
    <t>This version for negative ions!</t>
  </si>
  <si>
    <r>
      <t xml:space="preserve">To restart, </t>
    </r>
    <r>
      <rPr>
        <sz val="10"/>
        <color indexed="10"/>
        <rFont val="Arial"/>
        <family val="2"/>
      </rPr>
      <t>delete</t>
    </r>
    <r>
      <rPr>
        <sz val="10"/>
        <rFont val="Arial"/>
      </rPr>
      <t xml:space="preserve"> the data in C, 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</si>
</sst>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1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</font>
    <font>
      <b/>
      <sz val="10"/>
      <color indexed="2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0"/>
      <name val="Symbol"/>
      <family val="1"/>
      <charset val="2"/>
    </font>
    <font>
      <b/>
      <sz val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6" fillId="0" borderId="0" xfId="0" applyNumberFormat="1" applyFont="1" applyAlignment="1">
      <alignment horizontal="left"/>
    </xf>
    <xf numFmtId="164" fontId="4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2" fontId="3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7" fillId="0" borderId="0" xfId="0" applyFont="1"/>
    <xf numFmtId="0" fontId="4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6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3" borderId="0" xfId="0" applyFill="1"/>
    <xf numFmtId="0" fontId="10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164" fontId="4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4" borderId="0" xfId="0" applyFill="1" applyBorder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15" fillId="2" borderId="0" xfId="0" applyNumberFormat="1" applyFont="1" applyFill="1" applyAlignment="1">
      <alignment horizontal="center"/>
    </xf>
    <xf numFmtId="165" fontId="12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0" fillId="0" borderId="0" xfId="0" applyNumberFormat="1"/>
    <xf numFmtId="166" fontId="1" fillId="0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7" workbookViewId="0">
      <selection activeCell="A19" sqref="A19"/>
    </sheetView>
  </sheetViews>
  <sheetFormatPr defaultRowHeight="12.75" x14ac:dyDescent="0.2"/>
  <cols>
    <col min="1" max="1" width="39.85546875" customWidth="1"/>
    <col min="2" max="2" width="10.140625" bestFit="1" customWidth="1"/>
    <col min="3" max="3" width="1.7109375" customWidth="1"/>
    <col min="4" max="4" width="11.42578125" customWidth="1"/>
    <col min="5" max="5" width="12.28515625" style="61" customWidth="1"/>
    <col min="6" max="6" width="0.42578125" customWidth="1"/>
    <col min="7" max="7" width="12.140625" customWidth="1"/>
    <col min="8" max="8" width="12.28515625" customWidth="1"/>
    <col min="10" max="11" width="9.140625" hidden="1" customWidth="1"/>
  </cols>
  <sheetData>
    <row r="1" spans="1:11" x14ac:dyDescent="0.2">
      <c r="A1" s="48" t="s">
        <v>0</v>
      </c>
      <c r="B1" s="28"/>
      <c r="C1" s="24"/>
      <c r="D1" s="12"/>
      <c r="E1" s="56"/>
      <c r="F1" s="14"/>
      <c r="G1" s="14"/>
      <c r="H1" s="14"/>
    </row>
    <row r="2" spans="1:11" x14ac:dyDescent="0.2">
      <c r="A2" s="27"/>
      <c r="B2" s="28"/>
      <c r="C2" s="24"/>
      <c r="D2" s="12"/>
      <c r="E2" s="56"/>
      <c r="F2" s="14"/>
      <c r="G2" s="14"/>
      <c r="H2" s="14"/>
    </row>
    <row r="3" spans="1:11" ht="13.5" thickBot="1" x14ac:dyDescent="0.25">
      <c r="A3" s="14"/>
      <c r="B3" s="29"/>
      <c r="C3" s="25"/>
      <c r="D3" s="14"/>
      <c r="E3" s="57"/>
      <c r="F3" s="14"/>
      <c r="G3" s="14"/>
      <c r="H3" s="14"/>
    </row>
    <row r="4" spans="1:11" ht="13.5" thickBot="1" x14ac:dyDescent="0.25">
      <c r="A4" s="30" t="s">
        <v>1</v>
      </c>
      <c r="B4" s="62">
        <v>1075.9000000000001</v>
      </c>
      <c r="C4" s="25"/>
      <c r="D4" s="14"/>
      <c r="E4" s="57"/>
      <c r="F4" s="14"/>
      <c r="G4" s="14"/>
      <c r="H4" s="14"/>
    </row>
    <row r="5" spans="1:11" ht="13.5" thickBot="1" x14ac:dyDescent="0.25">
      <c r="A5" s="31" t="s">
        <v>2</v>
      </c>
      <c r="B5" s="42">
        <v>3</v>
      </c>
      <c r="C5" s="26"/>
      <c r="D5" s="49" t="s">
        <v>3</v>
      </c>
      <c r="E5" s="58" t="s">
        <v>4</v>
      </c>
      <c r="F5" s="54"/>
      <c r="G5" s="50" t="s">
        <v>3</v>
      </c>
      <c r="H5" s="51" t="s">
        <v>4</v>
      </c>
      <c r="J5">
        <v>1</v>
      </c>
      <c r="K5">
        <f>J5*1.008</f>
        <v>1.008</v>
      </c>
    </row>
    <row r="6" spans="1:11" x14ac:dyDescent="0.2">
      <c r="A6" s="14"/>
      <c r="B6" s="32" t="s">
        <v>5</v>
      </c>
      <c r="C6" s="26"/>
      <c r="D6" s="43" t="s">
        <v>5</v>
      </c>
      <c r="E6" s="59" t="s">
        <v>5</v>
      </c>
      <c r="F6" s="55"/>
      <c r="G6" s="14"/>
      <c r="H6" s="14"/>
      <c r="J6">
        <v>2</v>
      </c>
      <c r="K6">
        <f>J6*1.008</f>
        <v>2.016</v>
      </c>
    </row>
    <row r="7" spans="1:11" x14ac:dyDescent="0.2">
      <c r="A7" s="30" t="s">
        <v>6</v>
      </c>
      <c r="B7" s="34" t="s">
        <v>7</v>
      </c>
      <c r="C7" s="26"/>
      <c r="D7" s="52">
        <v>1</v>
      </c>
      <c r="E7" s="60">
        <f>$A$10+1.008</f>
        <v>3225.7080000000001</v>
      </c>
      <c r="F7" s="55"/>
      <c r="G7" s="53">
        <v>41</v>
      </c>
      <c r="H7" s="70">
        <f>($A$10+K45)/J45</f>
        <v>79.659219512195122</v>
      </c>
      <c r="J7">
        <v>3</v>
      </c>
      <c r="K7">
        <f>J7*1.008</f>
        <v>3.024</v>
      </c>
    </row>
    <row r="8" spans="1:11" x14ac:dyDescent="0.2">
      <c r="A8" s="14"/>
      <c r="B8" s="32"/>
      <c r="C8" s="26"/>
      <c r="D8" s="52">
        <v>2</v>
      </c>
      <c r="E8" s="60">
        <f t="shared" ref="E8:E14" si="0">($A$10+K6)/J6</f>
        <v>1613.3580000000002</v>
      </c>
      <c r="F8" s="55"/>
      <c r="G8" s="53">
        <v>42</v>
      </c>
      <c r="H8" s="70">
        <f>($A$10+K46)/J46</f>
        <v>77.786571428571435</v>
      </c>
      <c r="J8">
        <v>4</v>
      </c>
      <c r="K8">
        <f t="shared" ref="K8:K71" si="1">J8*1.008</f>
        <v>4.032</v>
      </c>
    </row>
    <row r="9" spans="1:11" x14ac:dyDescent="0.2">
      <c r="A9" s="35" t="s">
        <v>8</v>
      </c>
      <c r="B9" s="32"/>
      <c r="C9" s="26"/>
      <c r="D9" s="52">
        <v>3</v>
      </c>
      <c r="E9" s="60">
        <f t="shared" si="0"/>
        <v>1075.9080000000001</v>
      </c>
      <c r="F9" s="55"/>
      <c r="G9" s="53">
        <v>43</v>
      </c>
      <c r="H9" s="70">
        <f>($A$10+K47)/J47</f>
        <v>76.001023255813962</v>
      </c>
      <c r="J9">
        <v>5</v>
      </c>
      <c r="K9">
        <f t="shared" si="1"/>
        <v>5.04</v>
      </c>
    </row>
    <row r="10" spans="1:11" x14ac:dyDescent="0.2">
      <c r="A10" s="63">
        <f>(B4*B5*1)-B5</f>
        <v>3224.7000000000003</v>
      </c>
      <c r="B10" s="32"/>
      <c r="C10" s="26"/>
      <c r="D10" s="52">
        <v>4</v>
      </c>
      <c r="E10" s="60">
        <f t="shared" si="0"/>
        <v>807.18300000000011</v>
      </c>
      <c r="F10" s="55"/>
      <c r="G10" s="53">
        <v>44</v>
      </c>
      <c r="H10" s="70">
        <f>($A$10+K48)/J48</f>
        <v>74.296636363636367</v>
      </c>
      <c r="J10">
        <v>6</v>
      </c>
      <c r="K10">
        <f t="shared" si="1"/>
        <v>6.048</v>
      </c>
    </row>
    <row r="11" spans="1:11" x14ac:dyDescent="0.2">
      <c r="A11" s="14"/>
      <c r="B11" s="32"/>
      <c r="C11" s="26"/>
      <c r="D11" s="52">
        <v>5</v>
      </c>
      <c r="E11" s="60">
        <f t="shared" si="0"/>
        <v>645.94800000000009</v>
      </c>
      <c r="F11" s="55"/>
      <c r="G11" s="53">
        <v>45</v>
      </c>
      <c r="H11" s="70">
        <f>($A$10+K49)/J49</f>
        <v>72.668000000000006</v>
      </c>
      <c r="J11">
        <v>7</v>
      </c>
      <c r="K11">
        <f t="shared" si="1"/>
        <v>7.056</v>
      </c>
    </row>
    <row r="12" spans="1:11" x14ac:dyDescent="0.2">
      <c r="A12" s="14"/>
      <c r="B12" s="32"/>
      <c r="C12" s="26"/>
      <c r="D12" s="52">
        <v>6</v>
      </c>
      <c r="E12" s="60">
        <f t="shared" si="0"/>
        <v>538.45799999999997</v>
      </c>
      <c r="F12" s="55"/>
      <c r="G12" s="53">
        <v>46</v>
      </c>
      <c r="H12" s="70">
        <f t="shared" ref="H12:H46" si="2">($A$10+K50)/J50</f>
        <v>71.110173913043482</v>
      </c>
      <c r="J12">
        <v>8</v>
      </c>
      <c r="K12">
        <f t="shared" si="1"/>
        <v>8.0640000000000001</v>
      </c>
    </row>
    <row r="13" spans="1:11" x14ac:dyDescent="0.2">
      <c r="A13" s="14"/>
      <c r="B13" s="32"/>
      <c r="C13" s="26"/>
      <c r="D13" s="52">
        <v>7</v>
      </c>
      <c r="E13" s="60">
        <f t="shared" si="0"/>
        <v>461.67942857142862</v>
      </c>
      <c r="F13" s="55"/>
      <c r="G13" s="53">
        <v>47</v>
      </c>
      <c r="H13" s="70">
        <f t="shared" si="2"/>
        <v>69.618638297872351</v>
      </c>
      <c r="J13">
        <v>9</v>
      </c>
      <c r="K13">
        <f t="shared" si="1"/>
        <v>9.0719999999999992</v>
      </c>
    </row>
    <row r="14" spans="1:11" x14ac:dyDescent="0.2">
      <c r="A14" s="33"/>
      <c r="B14" s="32"/>
      <c r="C14" s="26"/>
      <c r="D14" s="52">
        <v>8</v>
      </c>
      <c r="E14" s="60">
        <f t="shared" si="0"/>
        <v>404.09550000000002</v>
      </c>
      <c r="F14" s="55"/>
      <c r="G14" s="53">
        <v>48</v>
      </c>
      <c r="H14" s="70">
        <f t="shared" si="2"/>
        <v>68.189250000000001</v>
      </c>
      <c r="J14">
        <v>10</v>
      </c>
      <c r="K14">
        <f t="shared" si="1"/>
        <v>10.08</v>
      </c>
    </row>
    <row r="15" spans="1:11" x14ac:dyDescent="0.2">
      <c r="A15" s="33" t="s">
        <v>5</v>
      </c>
      <c r="B15" s="32"/>
      <c r="C15" s="26"/>
      <c r="D15" s="52">
        <v>9</v>
      </c>
      <c r="E15" s="60">
        <f t="shared" ref="E15:E31" si="3">($A$10+K13)/J13</f>
        <v>359.30800000000005</v>
      </c>
      <c r="F15" s="55"/>
      <c r="G15" s="53">
        <v>49</v>
      </c>
      <c r="H15" s="70">
        <f t="shared" si="2"/>
        <v>66.818204081632658</v>
      </c>
      <c r="J15">
        <v>11</v>
      </c>
      <c r="K15">
        <f t="shared" si="1"/>
        <v>11.088000000000001</v>
      </c>
    </row>
    <row r="16" spans="1:11" x14ac:dyDescent="0.2">
      <c r="A16" s="14" t="s">
        <v>5</v>
      </c>
      <c r="B16" s="32"/>
      <c r="C16" s="26"/>
      <c r="D16" s="52">
        <v>10</v>
      </c>
      <c r="E16" s="60">
        <f t="shared" si="3"/>
        <v>323.47800000000001</v>
      </c>
      <c r="F16" s="55"/>
      <c r="G16" s="53">
        <v>50</v>
      </c>
      <c r="H16" s="70">
        <f t="shared" si="2"/>
        <v>65.50200000000001</v>
      </c>
      <c r="J16">
        <v>12</v>
      </c>
      <c r="K16">
        <f t="shared" si="1"/>
        <v>12.096</v>
      </c>
    </row>
    <row r="17" spans="1:11" x14ac:dyDescent="0.2">
      <c r="A17" s="14" t="s">
        <v>5</v>
      </c>
      <c r="B17" s="32"/>
      <c r="C17" s="26"/>
      <c r="D17" s="52">
        <v>11</v>
      </c>
      <c r="E17" s="60">
        <f t="shared" si="3"/>
        <v>294.16254545454552</v>
      </c>
      <c r="F17" s="55"/>
      <c r="G17" s="53">
        <v>51</v>
      </c>
      <c r="H17" s="70">
        <f t="shared" si="2"/>
        <v>64.237411764705882</v>
      </c>
      <c r="J17">
        <v>13</v>
      </c>
      <c r="K17">
        <f t="shared" si="1"/>
        <v>13.103999999999999</v>
      </c>
    </row>
    <row r="18" spans="1:11" x14ac:dyDescent="0.2">
      <c r="A18" s="14" t="s">
        <v>5</v>
      </c>
      <c r="B18" s="32"/>
      <c r="C18" s="26"/>
      <c r="D18" s="52">
        <v>12</v>
      </c>
      <c r="E18" s="60">
        <f t="shared" si="3"/>
        <v>269.733</v>
      </c>
      <c r="F18" s="55"/>
      <c r="G18" s="53">
        <v>52</v>
      </c>
      <c r="H18" s="70">
        <f t="shared" si="2"/>
        <v>63.021461538461544</v>
      </c>
      <c r="J18">
        <v>14</v>
      </c>
      <c r="K18">
        <f t="shared" si="1"/>
        <v>14.112</v>
      </c>
    </row>
    <row r="19" spans="1:11" x14ac:dyDescent="0.2">
      <c r="A19" s="14" t="s">
        <v>5</v>
      </c>
      <c r="B19" s="32"/>
      <c r="C19" s="26"/>
      <c r="D19" s="52">
        <v>13</v>
      </c>
      <c r="E19" s="60">
        <f t="shared" si="3"/>
        <v>249.06184615384615</v>
      </c>
      <c r="F19" s="55"/>
      <c r="G19" s="53">
        <v>53</v>
      </c>
      <c r="H19" s="70">
        <f t="shared" si="2"/>
        <v>61.851396226415098</v>
      </c>
      <c r="J19">
        <v>15</v>
      </c>
      <c r="K19">
        <f t="shared" si="1"/>
        <v>15.120000000000001</v>
      </c>
    </row>
    <row r="20" spans="1:11" x14ac:dyDescent="0.2">
      <c r="A20" s="14" t="s">
        <v>5</v>
      </c>
      <c r="B20" s="32"/>
      <c r="C20" s="26"/>
      <c r="D20" s="52">
        <v>14</v>
      </c>
      <c r="E20" s="60">
        <f t="shared" si="3"/>
        <v>231.3437142857143</v>
      </c>
      <c r="F20" s="55"/>
      <c r="G20" s="53">
        <v>54</v>
      </c>
      <c r="H20" s="70">
        <f t="shared" si="2"/>
        <v>60.724666666666671</v>
      </c>
      <c r="J20">
        <v>16</v>
      </c>
      <c r="K20">
        <f t="shared" si="1"/>
        <v>16.128</v>
      </c>
    </row>
    <row r="21" spans="1:11" x14ac:dyDescent="0.2">
      <c r="A21" s="14" t="s">
        <v>5</v>
      </c>
      <c r="B21" s="32"/>
      <c r="C21" s="26"/>
      <c r="D21" s="52">
        <v>15</v>
      </c>
      <c r="E21" s="60">
        <f t="shared" si="3"/>
        <v>215.988</v>
      </c>
      <c r="F21" s="55"/>
      <c r="G21" s="53">
        <v>55</v>
      </c>
      <c r="H21" s="70">
        <f t="shared" si="2"/>
        <v>59.638909090909095</v>
      </c>
      <c r="J21">
        <v>17</v>
      </c>
      <c r="K21">
        <f t="shared" si="1"/>
        <v>17.135999999999999</v>
      </c>
    </row>
    <row r="22" spans="1:11" x14ac:dyDescent="0.2">
      <c r="A22" s="14" t="s">
        <v>5</v>
      </c>
      <c r="B22" s="32"/>
      <c r="C22" s="26"/>
      <c r="D22" s="52">
        <v>16</v>
      </c>
      <c r="E22" s="60">
        <f t="shared" si="3"/>
        <v>202.55175000000003</v>
      </c>
      <c r="F22" s="55"/>
      <c r="G22" s="53">
        <v>56</v>
      </c>
      <c r="H22" s="70">
        <f t="shared" si="2"/>
        <v>58.591928571428575</v>
      </c>
      <c r="J22">
        <v>18</v>
      </c>
      <c r="K22">
        <f t="shared" si="1"/>
        <v>18.143999999999998</v>
      </c>
    </row>
    <row r="23" spans="1:11" x14ac:dyDescent="0.2">
      <c r="A23" s="14" t="s">
        <v>5</v>
      </c>
      <c r="B23" s="32"/>
      <c r="C23" s="26"/>
      <c r="D23" s="52">
        <v>17</v>
      </c>
      <c r="E23" s="60">
        <f t="shared" si="3"/>
        <v>190.69623529411766</v>
      </c>
      <c r="F23" s="55"/>
      <c r="G23" s="53">
        <v>57</v>
      </c>
      <c r="H23" s="70">
        <f t="shared" si="2"/>
        <v>57.581684210526326</v>
      </c>
      <c r="J23">
        <v>19</v>
      </c>
      <c r="K23">
        <f t="shared" si="1"/>
        <v>19.152000000000001</v>
      </c>
    </row>
    <row r="24" spans="1:11" x14ac:dyDescent="0.2">
      <c r="A24" s="14" t="s">
        <v>5</v>
      </c>
      <c r="B24" s="32"/>
      <c r="C24" s="26"/>
      <c r="D24" s="52">
        <v>18</v>
      </c>
      <c r="E24" s="60">
        <f t="shared" si="3"/>
        <v>180.15800000000002</v>
      </c>
      <c r="F24" s="55"/>
      <c r="G24" s="53">
        <v>58</v>
      </c>
      <c r="H24" s="70">
        <f t="shared" si="2"/>
        <v>56.606275862068969</v>
      </c>
      <c r="J24">
        <v>20</v>
      </c>
      <c r="K24">
        <f t="shared" si="1"/>
        <v>20.16</v>
      </c>
    </row>
    <row r="25" spans="1:11" x14ac:dyDescent="0.2">
      <c r="A25" s="14" t="s">
        <v>5</v>
      </c>
      <c r="B25" s="32"/>
      <c r="C25" s="26"/>
      <c r="D25" s="52">
        <v>19</v>
      </c>
      <c r="E25" s="60">
        <f t="shared" si="3"/>
        <v>170.72905263157895</v>
      </c>
      <c r="F25" s="55"/>
      <c r="G25" s="53">
        <v>59</v>
      </c>
      <c r="H25" s="70">
        <f t="shared" si="2"/>
        <v>55.663932203389841</v>
      </c>
      <c r="J25">
        <v>21</v>
      </c>
      <c r="K25">
        <f t="shared" si="1"/>
        <v>21.167999999999999</v>
      </c>
    </row>
    <row r="26" spans="1:11" x14ac:dyDescent="0.2">
      <c r="A26" s="14" t="s">
        <v>5</v>
      </c>
      <c r="B26" s="32"/>
      <c r="C26" s="26"/>
      <c r="D26" s="52">
        <v>20</v>
      </c>
      <c r="E26" s="60">
        <f t="shared" si="3"/>
        <v>162.24299999999999</v>
      </c>
      <c r="F26" s="55"/>
      <c r="G26" s="53">
        <v>60</v>
      </c>
      <c r="H26" s="70">
        <f t="shared" si="2"/>
        <v>54.753000000000007</v>
      </c>
      <c r="J26">
        <v>22</v>
      </c>
      <c r="K26">
        <f t="shared" si="1"/>
        <v>22.176000000000002</v>
      </c>
    </row>
    <row r="27" spans="1:11" x14ac:dyDescent="0.2">
      <c r="A27" s="14" t="s">
        <v>5</v>
      </c>
      <c r="B27" s="32"/>
      <c r="C27" s="26"/>
      <c r="D27" s="52">
        <v>21</v>
      </c>
      <c r="E27" s="60">
        <f t="shared" si="3"/>
        <v>154.56514285714289</v>
      </c>
      <c r="F27" s="55"/>
      <c r="G27" s="53">
        <v>61</v>
      </c>
      <c r="H27" s="70">
        <f t="shared" si="2"/>
        <v>53.871934426229508</v>
      </c>
      <c r="J27">
        <v>23</v>
      </c>
      <c r="K27">
        <f t="shared" si="1"/>
        <v>23.184000000000001</v>
      </c>
    </row>
    <row r="28" spans="1:11" x14ac:dyDescent="0.2">
      <c r="A28" s="14" t="s">
        <v>5</v>
      </c>
      <c r="B28" s="32"/>
      <c r="C28" s="26"/>
      <c r="D28" s="52">
        <v>22</v>
      </c>
      <c r="E28" s="60">
        <f t="shared" si="3"/>
        <v>147.58527272727272</v>
      </c>
      <c r="F28" s="55"/>
      <c r="G28" s="53">
        <v>62</v>
      </c>
      <c r="H28" s="70">
        <f t="shared" si="2"/>
        <v>53.019290322580652</v>
      </c>
      <c r="J28">
        <v>24</v>
      </c>
      <c r="K28">
        <f t="shared" si="1"/>
        <v>24.192</v>
      </c>
    </row>
    <row r="29" spans="1:11" x14ac:dyDescent="0.2">
      <c r="A29" s="14" t="s">
        <v>5</v>
      </c>
      <c r="B29" s="32"/>
      <c r="C29" s="26"/>
      <c r="D29" s="52">
        <v>23</v>
      </c>
      <c r="E29" s="60">
        <f t="shared" si="3"/>
        <v>141.21234782608698</v>
      </c>
      <c r="F29" s="55"/>
      <c r="G29" s="53">
        <v>63</v>
      </c>
      <c r="H29" s="70">
        <f t="shared" si="2"/>
        <v>52.193714285714286</v>
      </c>
      <c r="J29">
        <v>25</v>
      </c>
      <c r="K29">
        <f t="shared" si="1"/>
        <v>25.2</v>
      </c>
    </row>
    <row r="30" spans="1:11" x14ac:dyDescent="0.2">
      <c r="A30" s="14" t="s">
        <v>5</v>
      </c>
      <c r="B30" s="32"/>
      <c r="C30" s="26"/>
      <c r="D30" s="52">
        <v>24</v>
      </c>
      <c r="E30" s="60">
        <f t="shared" si="3"/>
        <v>135.37050000000002</v>
      </c>
      <c r="F30" s="55"/>
      <c r="G30" s="53">
        <v>64</v>
      </c>
      <c r="H30" s="70">
        <f t="shared" si="2"/>
        <v>51.393937500000007</v>
      </c>
      <c r="J30">
        <v>26</v>
      </c>
      <c r="K30">
        <f t="shared" si="1"/>
        <v>26.207999999999998</v>
      </c>
    </row>
    <row r="31" spans="1:11" x14ac:dyDescent="0.2">
      <c r="A31" s="14" t="s">
        <v>5</v>
      </c>
      <c r="B31" s="32"/>
      <c r="C31" s="26"/>
      <c r="D31" s="52">
        <v>25</v>
      </c>
      <c r="E31" s="60">
        <f t="shared" si="3"/>
        <v>129.99600000000001</v>
      </c>
      <c r="F31" s="55"/>
      <c r="G31" s="53">
        <v>65</v>
      </c>
      <c r="H31" s="70">
        <f t="shared" si="2"/>
        <v>50.618769230769232</v>
      </c>
      <c r="J31">
        <v>27</v>
      </c>
      <c r="K31">
        <f t="shared" si="1"/>
        <v>27.216000000000001</v>
      </c>
    </row>
    <row r="32" spans="1:11" x14ac:dyDescent="0.2">
      <c r="A32" s="14" t="s">
        <v>5</v>
      </c>
      <c r="B32" s="32"/>
      <c r="C32" s="26"/>
      <c r="D32" s="52">
        <v>26</v>
      </c>
      <c r="E32" s="60">
        <f t="shared" ref="E32:E39" si="4">($A$10+K30)/J30</f>
        <v>125.03492307692309</v>
      </c>
      <c r="F32" s="55"/>
      <c r="G32" s="53">
        <v>66</v>
      </c>
      <c r="H32" s="70">
        <f t="shared" si="2"/>
        <v>49.867090909090912</v>
      </c>
      <c r="J32">
        <v>28</v>
      </c>
      <c r="K32">
        <f t="shared" si="1"/>
        <v>28.224</v>
      </c>
    </row>
    <row r="33" spans="1:11" x14ac:dyDescent="0.2">
      <c r="A33" s="14" t="s">
        <v>5</v>
      </c>
      <c r="B33" s="32"/>
      <c r="C33" s="26"/>
      <c r="D33" s="52">
        <v>27</v>
      </c>
      <c r="E33" s="60">
        <f t="shared" si="4"/>
        <v>120.44133333333333</v>
      </c>
      <c r="F33" s="55"/>
      <c r="G33" s="53">
        <v>67</v>
      </c>
      <c r="H33" s="70">
        <f t="shared" si="2"/>
        <v>49.137850746268661</v>
      </c>
      <c r="J33">
        <v>29</v>
      </c>
      <c r="K33">
        <f t="shared" si="1"/>
        <v>29.231999999999999</v>
      </c>
    </row>
    <row r="34" spans="1:11" x14ac:dyDescent="0.2">
      <c r="A34" s="14" t="s">
        <v>5</v>
      </c>
      <c r="B34" s="32"/>
      <c r="C34" s="26"/>
      <c r="D34" s="52">
        <v>28</v>
      </c>
      <c r="E34" s="60">
        <f t="shared" si="4"/>
        <v>116.17585714285715</v>
      </c>
      <c r="F34" s="55"/>
      <c r="G34" s="53">
        <v>68</v>
      </c>
      <c r="H34" s="70">
        <f t="shared" si="2"/>
        <v>48.430058823529414</v>
      </c>
      <c r="J34">
        <v>30</v>
      </c>
      <c r="K34">
        <f t="shared" si="1"/>
        <v>30.240000000000002</v>
      </c>
    </row>
    <row r="35" spans="1:11" x14ac:dyDescent="0.2">
      <c r="A35" s="14" t="s">
        <v>5</v>
      </c>
      <c r="B35" s="32"/>
      <c r="C35" s="26"/>
      <c r="D35" s="52">
        <v>29</v>
      </c>
      <c r="E35" s="60">
        <f t="shared" si="4"/>
        <v>112.20455172413794</v>
      </c>
      <c r="F35" s="55"/>
      <c r="G35" s="53">
        <v>69</v>
      </c>
      <c r="H35" s="70">
        <f t="shared" si="2"/>
        <v>47.742782608695656</v>
      </c>
      <c r="J35">
        <v>31</v>
      </c>
      <c r="K35">
        <f t="shared" si="1"/>
        <v>31.248000000000001</v>
      </c>
    </row>
    <row r="36" spans="1:11" x14ac:dyDescent="0.2">
      <c r="A36" s="14" t="s">
        <v>5</v>
      </c>
      <c r="B36" s="32"/>
      <c r="C36" s="26"/>
      <c r="D36" s="52">
        <v>30</v>
      </c>
      <c r="E36" s="60">
        <f t="shared" si="4"/>
        <v>108.498</v>
      </c>
      <c r="F36" s="55"/>
      <c r="G36" s="53">
        <v>70</v>
      </c>
      <c r="H36" s="70">
        <f t="shared" si="2"/>
        <v>47.075142857142858</v>
      </c>
      <c r="J36">
        <v>32</v>
      </c>
      <c r="K36">
        <f t="shared" si="1"/>
        <v>32.256</v>
      </c>
    </row>
    <row r="37" spans="1:11" x14ac:dyDescent="0.2">
      <c r="A37" s="14" t="s">
        <v>5</v>
      </c>
      <c r="B37" s="32"/>
      <c r="C37" s="26"/>
      <c r="D37" s="52">
        <v>31</v>
      </c>
      <c r="E37" s="60">
        <f t="shared" si="4"/>
        <v>105.03058064516129</v>
      </c>
      <c r="F37" s="55"/>
      <c r="G37" s="53">
        <v>71</v>
      </c>
      <c r="H37" s="70">
        <f t="shared" si="2"/>
        <v>46.426309859154934</v>
      </c>
      <c r="J37">
        <v>33</v>
      </c>
      <c r="K37">
        <f t="shared" si="1"/>
        <v>33.264000000000003</v>
      </c>
    </row>
    <row r="38" spans="1:11" x14ac:dyDescent="0.2">
      <c r="A38" s="14" t="s">
        <v>5</v>
      </c>
      <c r="B38" s="32"/>
      <c r="C38" s="26"/>
      <c r="D38" s="52">
        <v>32</v>
      </c>
      <c r="E38" s="60">
        <f t="shared" si="4"/>
        <v>101.779875</v>
      </c>
      <c r="F38" s="55"/>
      <c r="G38" s="53">
        <v>72</v>
      </c>
      <c r="H38" s="70">
        <f t="shared" si="2"/>
        <v>45.795500000000004</v>
      </c>
      <c r="J38">
        <v>34</v>
      </c>
      <c r="K38">
        <f t="shared" si="1"/>
        <v>34.271999999999998</v>
      </c>
    </row>
    <row r="39" spans="1:11" x14ac:dyDescent="0.2">
      <c r="A39" s="14" t="s">
        <v>5</v>
      </c>
      <c r="B39" s="32"/>
      <c r="C39" s="26"/>
      <c r="D39" s="52">
        <v>33</v>
      </c>
      <c r="E39" s="60">
        <f t="shared" si="4"/>
        <v>98.726181818181828</v>
      </c>
      <c r="F39" s="55"/>
      <c r="G39" s="53">
        <v>73</v>
      </c>
      <c r="H39" s="70">
        <f t="shared" si="2"/>
        <v>45.181972602739727</v>
      </c>
      <c r="J39">
        <v>35</v>
      </c>
      <c r="K39">
        <f t="shared" si="1"/>
        <v>35.28</v>
      </c>
    </row>
    <row r="40" spans="1:11" x14ac:dyDescent="0.2">
      <c r="A40" s="14" t="s">
        <v>5</v>
      </c>
      <c r="B40" s="32"/>
      <c r="C40" s="26"/>
      <c r="D40" s="52">
        <v>34</v>
      </c>
      <c r="E40" s="60">
        <f t="shared" ref="E40:E46" si="5">($A$10+K38)/J38</f>
        <v>95.852117647058833</v>
      </c>
      <c r="F40" s="55"/>
      <c r="G40" s="53">
        <v>74</v>
      </c>
      <c r="H40" s="70">
        <f t="shared" si="2"/>
        <v>44.585027027027031</v>
      </c>
      <c r="J40">
        <v>36</v>
      </c>
      <c r="K40">
        <f t="shared" si="1"/>
        <v>36.287999999999997</v>
      </c>
    </row>
    <row r="41" spans="1:11" x14ac:dyDescent="0.2">
      <c r="A41" s="14" t="s">
        <v>5</v>
      </c>
      <c r="B41" s="32"/>
      <c r="C41" s="26"/>
      <c r="D41" s="52">
        <v>35</v>
      </c>
      <c r="E41" s="60">
        <f t="shared" si="5"/>
        <v>93.142285714285734</v>
      </c>
      <c r="F41" s="55"/>
      <c r="G41" s="53">
        <v>75</v>
      </c>
      <c r="H41" s="70">
        <f t="shared" si="2"/>
        <v>44.004000000000005</v>
      </c>
      <c r="J41">
        <v>37</v>
      </c>
      <c r="K41">
        <f t="shared" si="1"/>
        <v>37.295999999999999</v>
      </c>
    </row>
    <row r="42" spans="1:11" x14ac:dyDescent="0.2">
      <c r="A42" s="14" t="s">
        <v>5</v>
      </c>
      <c r="B42" s="32"/>
      <c r="C42" s="26"/>
      <c r="D42" s="52">
        <v>36</v>
      </c>
      <c r="E42" s="60">
        <f t="shared" si="5"/>
        <v>90.583000000000013</v>
      </c>
      <c r="F42" s="55"/>
      <c r="G42" s="53">
        <v>76</v>
      </c>
      <c r="H42" s="70">
        <f t="shared" si="2"/>
        <v>43.438263157894745</v>
      </c>
      <c r="J42">
        <v>38</v>
      </c>
      <c r="K42">
        <f t="shared" si="1"/>
        <v>38.304000000000002</v>
      </c>
    </row>
    <row r="43" spans="1:11" x14ac:dyDescent="0.2">
      <c r="A43" s="14" t="s">
        <v>5</v>
      </c>
      <c r="B43" s="32"/>
      <c r="C43" s="26"/>
      <c r="D43" s="52">
        <v>37</v>
      </c>
      <c r="E43" s="60">
        <f t="shared" si="5"/>
        <v>88.162054054054053</v>
      </c>
      <c r="F43" s="55"/>
      <c r="G43" s="53">
        <v>77</v>
      </c>
      <c r="H43" s="70">
        <f t="shared" si="2"/>
        <v>42.887220779220783</v>
      </c>
      <c r="J43">
        <v>39</v>
      </c>
      <c r="K43">
        <f t="shared" si="1"/>
        <v>39.311999999999998</v>
      </c>
    </row>
    <row r="44" spans="1:11" x14ac:dyDescent="0.2">
      <c r="A44" s="14" t="s">
        <v>5</v>
      </c>
      <c r="B44" s="32"/>
      <c r="C44" s="26"/>
      <c r="D44" s="52">
        <v>38</v>
      </c>
      <c r="E44" s="60">
        <f t="shared" si="5"/>
        <v>85.868526315789481</v>
      </c>
      <c r="F44" s="55"/>
      <c r="G44" s="53">
        <v>78</v>
      </c>
      <c r="H44" s="70">
        <f t="shared" si="2"/>
        <v>42.350307692307695</v>
      </c>
      <c r="J44">
        <v>40</v>
      </c>
      <c r="K44">
        <f t="shared" si="1"/>
        <v>40.32</v>
      </c>
    </row>
    <row r="45" spans="1:11" x14ac:dyDescent="0.2">
      <c r="A45" s="14" t="s">
        <v>5</v>
      </c>
      <c r="B45" s="32"/>
      <c r="C45" s="26"/>
      <c r="D45" s="52">
        <v>39</v>
      </c>
      <c r="E45" s="60">
        <f t="shared" si="5"/>
        <v>83.692615384615394</v>
      </c>
      <c r="F45" s="55"/>
      <c r="G45" s="53">
        <v>79</v>
      </c>
      <c r="H45" s="70">
        <f t="shared" si="2"/>
        <v>41.826987341772153</v>
      </c>
      <c r="J45">
        <v>41</v>
      </c>
      <c r="K45">
        <f t="shared" si="1"/>
        <v>41.328000000000003</v>
      </c>
    </row>
    <row r="46" spans="1:11" x14ac:dyDescent="0.2">
      <c r="A46" s="14" t="s">
        <v>5</v>
      </c>
      <c r="B46" s="32"/>
      <c r="C46" s="26"/>
      <c r="D46" s="52">
        <v>40</v>
      </c>
      <c r="E46" s="60">
        <f t="shared" si="5"/>
        <v>81.625500000000017</v>
      </c>
      <c r="F46" s="55"/>
      <c r="G46" s="53">
        <v>80</v>
      </c>
      <c r="H46" s="70">
        <f t="shared" si="2"/>
        <v>41.316749999999999</v>
      </c>
      <c r="J46">
        <v>42</v>
      </c>
      <c r="K46">
        <f t="shared" si="1"/>
        <v>42.335999999999999</v>
      </c>
    </row>
    <row r="47" spans="1:11" x14ac:dyDescent="0.2">
      <c r="J47">
        <v>43</v>
      </c>
      <c r="K47">
        <f t="shared" si="1"/>
        <v>43.344000000000001</v>
      </c>
    </row>
    <row r="48" spans="1:11" x14ac:dyDescent="0.2">
      <c r="J48">
        <v>44</v>
      </c>
      <c r="K48">
        <f t="shared" si="1"/>
        <v>44.352000000000004</v>
      </c>
    </row>
    <row r="49" spans="10:11" x14ac:dyDescent="0.2">
      <c r="J49">
        <v>45</v>
      </c>
      <c r="K49">
        <f t="shared" si="1"/>
        <v>45.36</v>
      </c>
    </row>
    <row r="50" spans="10:11" x14ac:dyDescent="0.2">
      <c r="J50">
        <v>46</v>
      </c>
      <c r="K50">
        <f t="shared" si="1"/>
        <v>46.368000000000002</v>
      </c>
    </row>
    <row r="51" spans="10:11" x14ac:dyDescent="0.2">
      <c r="J51">
        <v>47</v>
      </c>
      <c r="K51">
        <f t="shared" si="1"/>
        <v>47.375999999999998</v>
      </c>
    </row>
    <row r="52" spans="10:11" x14ac:dyDescent="0.2">
      <c r="J52">
        <v>48</v>
      </c>
      <c r="K52">
        <f t="shared" si="1"/>
        <v>48.384</v>
      </c>
    </row>
    <row r="53" spans="10:11" x14ac:dyDescent="0.2">
      <c r="J53">
        <v>49</v>
      </c>
      <c r="K53">
        <f t="shared" si="1"/>
        <v>49.392000000000003</v>
      </c>
    </row>
    <row r="54" spans="10:11" x14ac:dyDescent="0.2">
      <c r="J54">
        <v>50</v>
      </c>
      <c r="K54">
        <f t="shared" si="1"/>
        <v>50.4</v>
      </c>
    </row>
    <row r="55" spans="10:11" x14ac:dyDescent="0.2">
      <c r="J55">
        <v>51</v>
      </c>
      <c r="K55">
        <f t="shared" si="1"/>
        <v>51.408000000000001</v>
      </c>
    </row>
    <row r="56" spans="10:11" x14ac:dyDescent="0.2">
      <c r="J56">
        <v>52</v>
      </c>
      <c r="K56">
        <f t="shared" si="1"/>
        <v>52.415999999999997</v>
      </c>
    </row>
    <row r="57" spans="10:11" x14ac:dyDescent="0.2">
      <c r="J57">
        <v>53</v>
      </c>
      <c r="K57">
        <f t="shared" si="1"/>
        <v>53.423999999999999</v>
      </c>
    </row>
    <row r="58" spans="10:11" x14ac:dyDescent="0.2">
      <c r="J58">
        <v>54</v>
      </c>
      <c r="K58">
        <f t="shared" si="1"/>
        <v>54.432000000000002</v>
      </c>
    </row>
    <row r="59" spans="10:11" x14ac:dyDescent="0.2">
      <c r="J59">
        <v>55</v>
      </c>
      <c r="K59">
        <f t="shared" si="1"/>
        <v>55.44</v>
      </c>
    </row>
    <row r="60" spans="10:11" x14ac:dyDescent="0.2">
      <c r="J60">
        <v>56</v>
      </c>
      <c r="K60">
        <f t="shared" si="1"/>
        <v>56.448</v>
      </c>
    </row>
    <row r="61" spans="10:11" x14ac:dyDescent="0.2">
      <c r="J61">
        <v>57</v>
      </c>
      <c r="K61">
        <f t="shared" si="1"/>
        <v>57.456000000000003</v>
      </c>
    </row>
    <row r="62" spans="10:11" x14ac:dyDescent="0.2">
      <c r="J62">
        <v>58</v>
      </c>
      <c r="K62">
        <f t="shared" si="1"/>
        <v>58.463999999999999</v>
      </c>
    </row>
    <row r="63" spans="10:11" x14ac:dyDescent="0.2">
      <c r="J63">
        <v>59</v>
      </c>
      <c r="K63">
        <f t="shared" si="1"/>
        <v>59.472000000000001</v>
      </c>
    </row>
    <row r="64" spans="10:11" x14ac:dyDescent="0.2">
      <c r="J64">
        <v>60</v>
      </c>
      <c r="K64">
        <f t="shared" si="1"/>
        <v>60.480000000000004</v>
      </c>
    </row>
    <row r="65" spans="10:11" x14ac:dyDescent="0.2">
      <c r="J65">
        <v>61</v>
      </c>
      <c r="K65">
        <f t="shared" si="1"/>
        <v>61.488</v>
      </c>
    </row>
    <row r="66" spans="10:11" x14ac:dyDescent="0.2">
      <c r="J66">
        <v>62</v>
      </c>
      <c r="K66">
        <f t="shared" si="1"/>
        <v>62.496000000000002</v>
      </c>
    </row>
    <row r="67" spans="10:11" x14ac:dyDescent="0.2">
      <c r="J67">
        <v>63</v>
      </c>
      <c r="K67">
        <f t="shared" si="1"/>
        <v>63.503999999999998</v>
      </c>
    </row>
    <row r="68" spans="10:11" x14ac:dyDescent="0.2">
      <c r="J68">
        <v>64</v>
      </c>
      <c r="K68">
        <f t="shared" si="1"/>
        <v>64.512</v>
      </c>
    </row>
    <row r="69" spans="10:11" x14ac:dyDescent="0.2">
      <c r="J69">
        <v>65</v>
      </c>
      <c r="K69">
        <f t="shared" si="1"/>
        <v>65.52</v>
      </c>
    </row>
    <row r="70" spans="10:11" x14ac:dyDescent="0.2">
      <c r="J70">
        <v>66</v>
      </c>
      <c r="K70">
        <f t="shared" si="1"/>
        <v>66.528000000000006</v>
      </c>
    </row>
    <row r="71" spans="10:11" x14ac:dyDescent="0.2">
      <c r="J71">
        <v>67</v>
      </c>
      <c r="K71">
        <f t="shared" si="1"/>
        <v>67.536000000000001</v>
      </c>
    </row>
    <row r="72" spans="10:11" x14ac:dyDescent="0.2">
      <c r="J72">
        <v>68</v>
      </c>
      <c r="K72">
        <f t="shared" ref="K72:K84" si="6">J72*1.008</f>
        <v>68.543999999999997</v>
      </c>
    </row>
    <row r="73" spans="10:11" x14ac:dyDescent="0.2">
      <c r="J73">
        <v>69</v>
      </c>
      <c r="K73">
        <f t="shared" si="6"/>
        <v>69.552000000000007</v>
      </c>
    </row>
    <row r="74" spans="10:11" x14ac:dyDescent="0.2">
      <c r="J74">
        <v>70</v>
      </c>
      <c r="K74">
        <f t="shared" si="6"/>
        <v>70.56</v>
      </c>
    </row>
    <row r="75" spans="10:11" x14ac:dyDescent="0.2">
      <c r="J75">
        <v>71</v>
      </c>
      <c r="K75">
        <f t="shared" si="6"/>
        <v>71.567999999999998</v>
      </c>
    </row>
    <row r="76" spans="10:11" x14ac:dyDescent="0.2">
      <c r="J76">
        <v>72</v>
      </c>
      <c r="K76">
        <f t="shared" si="6"/>
        <v>72.575999999999993</v>
      </c>
    </row>
    <row r="77" spans="10:11" x14ac:dyDescent="0.2">
      <c r="J77">
        <v>73</v>
      </c>
      <c r="K77">
        <f t="shared" si="6"/>
        <v>73.584000000000003</v>
      </c>
    </row>
    <row r="78" spans="10:11" x14ac:dyDescent="0.2">
      <c r="J78">
        <v>74</v>
      </c>
      <c r="K78">
        <f t="shared" si="6"/>
        <v>74.591999999999999</v>
      </c>
    </row>
    <row r="79" spans="10:11" x14ac:dyDescent="0.2">
      <c r="J79">
        <v>75</v>
      </c>
      <c r="K79">
        <f t="shared" si="6"/>
        <v>75.599999999999994</v>
      </c>
    </row>
    <row r="80" spans="10:11" x14ac:dyDescent="0.2">
      <c r="J80">
        <v>76</v>
      </c>
      <c r="K80">
        <f t="shared" si="6"/>
        <v>76.608000000000004</v>
      </c>
    </row>
    <row r="81" spans="10:11" x14ac:dyDescent="0.2">
      <c r="J81">
        <v>77</v>
      </c>
      <c r="K81">
        <f t="shared" si="6"/>
        <v>77.616</v>
      </c>
    </row>
    <row r="82" spans="10:11" x14ac:dyDescent="0.2">
      <c r="J82">
        <v>78</v>
      </c>
      <c r="K82">
        <f t="shared" si="6"/>
        <v>78.623999999999995</v>
      </c>
    </row>
    <row r="83" spans="10:11" x14ac:dyDescent="0.2">
      <c r="J83">
        <v>79</v>
      </c>
      <c r="K83">
        <f t="shared" si="6"/>
        <v>79.632000000000005</v>
      </c>
    </row>
    <row r="84" spans="10:11" x14ac:dyDescent="0.2">
      <c r="J84">
        <v>80</v>
      </c>
      <c r="K84">
        <f t="shared" si="6"/>
        <v>80.64</v>
      </c>
    </row>
  </sheetData>
  <phoneticPr fontId="11" type="noConversion"/>
  <pageMargins left="0.42" right="0.33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7" sqref="B7"/>
    </sheetView>
  </sheetViews>
  <sheetFormatPr defaultRowHeight="12.75" x14ac:dyDescent="0.2"/>
  <cols>
    <col min="1" max="1" width="38" customWidth="1"/>
    <col min="2" max="2" width="6.140625" customWidth="1"/>
    <col min="3" max="3" width="1.85546875" customWidth="1"/>
    <col min="4" max="4" width="9.42578125" customWidth="1"/>
  </cols>
  <sheetData>
    <row r="1" spans="1:5" x14ac:dyDescent="0.2">
      <c r="A1" s="47" t="s">
        <v>9</v>
      </c>
      <c r="B1" s="28" t="s">
        <v>5</v>
      </c>
      <c r="C1" s="24"/>
      <c r="D1" s="12"/>
      <c r="E1" s="13"/>
    </row>
    <row r="2" spans="1:5" ht="13.5" thickBot="1" x14ac:dyDescent="0.25">
      <c r="A2" s="14"/>
      <c r="B2" s="29"/>
      <c r="C2" s="25"/>
      <c r="D2" s="14"/>
      <c r="E2" s="14"/>
    </row>
    <row r="3" spans="1:5" ht="13.5" thickBot="1" x14ac:dyDescent="0.25">
      <c r="A3" s="37" t="s">
        <v>1</v>
      </c>
      <c r="B3" s="41">
        <v>843.2</v>
      </c>
      <c r="C3" s="25"/>
      <c r="D3" s="39" t="s">
        <v>5</v>
      </c>
      <c r="E3" s="40"/>
    </row>
    <row r="4" spans="1:5" ht="13.5" thickBot="1" x14ac:dyDescent="0.25">
      <c r="A4" s="46" t="s">
        <v>10</v>
      </c>
      <c r="B4" s="42">
        <v>1</v>
      </c>
      <c r="C4" s="26"/>
      <c r="D4" s="44" t="s">
        <v>11</v>
      </c>
      <c r="E4" s="44" t="s">
        <v>4</v>
      </c>
    </row>
    <row r="5" spans="1:5" x14ac:dyDescent="0.2">
      <c r="A5" s="30"/>
      <c r="B5" s="32"/>
      <c r="C5" s="26"/>
      <c r="D5" s="14"/>
      <c r="E5" s="14"/>
    </row>
    <row r="6" spans="1:5" x14ac:dyDescent="0.2">
      <c r="A6" s="30" t="s">
        <v>6</v>
      </c>
      <c r="B6" s="34" t="s">
        <v>7</v>
      </c>
      <c r="C6" s="36"/>
      <c r="D6" s="45">
        <v>1</v>
      </c>
      <c r="E6" s="39">
        <f>A9-1</f>
        <v>843.2</v>
      </c>
    </row>
    <row r="7" spans="1:5" x14ac:dyDescent="0.2">
      <c r="A7" s="14"/>
      <c r="B7" s="14"/>
      <c r="C7" s="36"/>
      <c r="D7" s="45">
        <v>2</v>
      </c>
      <c r="E7" s="39">
        <f>(A9-2)/2</f>
        <v>421.1</v>
      </c>
    </row>
    <row r="8" spans="1:5" x14ac:dyDescent="0.2">
      <c r="A8" s="35" t="s">
        <v>8</v>
      </c>
      <c r="B8" s="14"/>
      <c r="C8" s="36"/>
      <c r="D8" s="45">
        <v>3</v>
      </c>
      <c r="E8" s="39">
        <f>(A9-D8)/D8</f>
        <v>280.40000000000003</v>
      </c>
    </row>
    <row r="9" spans="1:5" x14ac:dyDescent="0.2">
      <c r="A9" s="15">
        <f>(B4*B3)+B4</f>
        <v>844.2</v>
      </c>
      <c r="B9" s="14"/>
      <c r="C9" s="36"/>
      <c r="D9" s="45">
        <v>4</v>
      </c>
      <c r="E9" s="39">
        <f>(A9-D9)/D9</f>
        <v>210.05</v>
      </c>
    </row>
    <row r="10" spans="1:5" x14ac:dyDescent="0.2">
      <c r="A10" s="14"/>
      <c r="B10" s="14"/>
      <c r="C10" s="36"/>
      <c r="D10" s="45">
        <v>5</v>
      </c>
      <c r="E10" s="39">
        <f>(A9-D10)/D10</f>
        <v>167.84</v>
      </c>
    </row>
    <row r="11" spans="1:5" x14ac:dyDescent="0.2">
      <c r="A11" s="14"/>
      <c r="B11" s="14"/>
      <c r="C11" s="36"/>
      <c r="D11" s="45">
        <v>6</v>
      </c>
      <c r="E11" s="39">
        <f>(A9-D11)/D11</f>
        <v>139.70000000000002</v>
      </c>
    </row>
    <row r="12" spans="1:5" x14ac:dyDescent="0.2">
      <c r="A12" s="38" t="s">
        <v>5</v>
      </c>
      <c r="B12" s="14"/>
      <c r="C12" s="36"/>
      <c r="D12" s="45">
        <v>7</v>
      </c>
      <c r="E12" s="39">
        <f>(A9-D12)/D12</f>
        <v>119.60000000000001</v>
      </c>
    </row>
    <row r="13" spans="1:5" x14ac:dyDescent="0.2">
      <c r="A13" s="33" t="s">
        <v>5</v>
      </c>
      <c r="B13" s="14"/>
      <c r="C13" s="36"/>
      <c r="D13" s="45">
        <v>8</v>
      </c>
      <c r="E13" s="39">
        <f>(A9-D13)/D13</f>
        <v>104.52500000000001</v>
      </c>
    </row>
    <row r="14" spans="1:5" x14ac:dyDescent="0.2">
      <c r="A14" s="33" t="s">
        <v>5</v>
      </c>
      <c r="B14" s="14"/>
      <c r="C14" s="36"/>
      <c r="D14" s="45">
        <v>9</v>
      </c>
      <c r="E14" s="39">
        <f>(A9-D14)/D14</f>
        <v>92.800000000000011</v>
      </c>
    </row>
    <row r="15" spans="1:5" x14ac:dyDescent="0.2">
      <c r="A15" s="33" t="s">
        <v>5</v>
      </c>
      <c r="B15" s="14"/>
      <c r="C15" s="36"/>
      <c r="D15" s="45">
        <v>10</v>
      </c>
      <c r="E15" s="39">
        <f>(A9-D15)/D15</f>
        <v>83.42</v>
      </c>
    </row>
    <row r="16" spans="1:5" x14ac:dyDescent="0.2">
      <c r="A16" s="33" t="s">
        <v>5</v>
      </c>
      <c r="B16" s="14"/>
      <c r="C16" s="36"/>
      <c r="D16" s="45">
        <v>11</v>
      </c>
      <c r="E16" s="39">
        <f>(A9-D16)/D16</f>
        <v>75.74545454545455</v>
      </c>
    </row>
    <row r="17" spans="1:5" x14ac:dyDescent="0.2">
      <c r="A17" s="14"/>
      <c r="B17" s="14"/>
      <c r="C17" s="36"/>
      <c r="D17" s="45">
        <v>12</v>
      </c>
      <c r="E17" s="39">
        <f>(A9-D17)/D17</f>
        <v>69.350000000000009</v>
      </c>
    </row>
    <row r="18" spans="1:5" x14ac:dyDescent="0.2">
      <c r="A18" s="14"/>
      <c r="B18" s="14"/>
      <c r="C18" s="36"/>
      <c r="D18" s="45">
        <v>13</v>
      </c>
      <c r="E18" s="39">
        <f>(A9-D18)/D18</f>
        <v>63.938461538461539</v>
      </c>
    </row>
    <row r="19" spans="1:5" x14ac:dyDescent="0.2">
      <c r="A19" s="14"/>
      <c r="B19" s="14"/>
      <c r="C19" s="36"/>
      <c r="D19" s="45">
        <v>14</v>
      </c>
      <c r="E19" s="39">
        <f>(A9-D19)/D19</f>
        <v>59.300000000000004</v>
      </c>
    </row>
    <row r="20" spans="1:5" x14ac:dyDescent="0.2">
      <c r="A20" s="14"/>
      <c r="B20" s="14"/>
      <c r="C20" s="36"/>
      <c r="D20" s="45">
        <v>15</v>
      </c>
      <c r="E20" s="39">
        <f>(A9-D20)/D20</f>
        <v>55.28</v>
      </c>
    </row>
    <row r="21" spans="1:5" x14ac:dyDescent="0.2">
      <c r="A21" s="14"/>
      <c r="B21" s="14"/>
      <c r="C21" s="36"/>
      <c r="D21" s="45">
        <v>16</v>
      </c>
      <c r="E21" s="39">
        <f>(A9-D21)/D21</f>
        <v>51.762500000000003</v>
      </c>
    </row>
    <row r="22" spans="1:5" x14ac:dyDescent="0.2">
      <c r="A22" s="14"/>
      <c r="B22" s="14"/>
      <c r="C22" s="36"/>
      <c r="D22" s="45">
        <v>17</v>
      </c>
      <c r="E22" s="39">
        <f>(A9-D22)/D22</f>
        <v>48.658823529411769</v>
      </c>
    </row>
    <row r="23" spans="1:5" x14ac:dyDescent="0.2">
      <c r="A23" s="14"/>
      <c r="B23" s="14"/>
      <c r="C23" s="36"/>
      <c r="D23" s="45">
        <v>18</v>
      </c>
      <c r="E23" s="39">
        <f>(A9-D23)/D23</f>
        <v>45.900000000000006</v>
      </c>
    </row>
    <row r="24" spans="1:5" x14ac:dyDescent="0.2">
      <c r="A24" s="14"/>
      <c r="B24" s="14"/>
      <c r="C24" s="36"/>
      <c r="D24" s="45">
        <v>19</v>
      </c>
      <c r="E24" s="39">
        <f>(A9-D24)/D24</f>
        <v>43.431578947368422</v>
      </c>
    </row>
    <row r="25" spans="1:5" x14ac:dyDescent="0.2">
      <c r="A25" s="14"/>
      <c r="B25" s="14"/>
      <c r="C25" s="36"/>
      <c r="D25" s="45">
        <v>20</v>
      </c>
      <c r="E25" s="39">
        <f>(A9-D25)/D25</f>
        <v>41.21</v>
      </c>
    </row>
  </sheetData>
  <phoneticPr fontId="1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3" sqref="B3"/>
    </sheetView>
  </sheetViews>
  <sheetFormatPr defaultRowHeight="12.75" x14ac:dyDescent="0.2"/>
  <cols>
    <col min="1" max="1" width="30.7109375" style="2" customWidth="1"/>
    <col min="2" max="2" width="10.140625" style="3" customWidth="1"/>
    <col min="3" max="3" width="19.5703125" style="67" customWidth="1"/>
    <col min="4" max="4" width="0.7109375" style="1" customWidth="1"/>
    <col min="5" max="5" width="0.85546875" customWidth="1"/>
    <col min="6" max="6" width="11" style="65" customWidth="1"/>
    <col min="7" max="7" width="15.140625" customWidth="1"/>
  </cols>
  <sheetData>
    <row r="1" spans="1:6" x14ac:dyDescent="0.2">
      <c r="A1" s="8" t="s">
        <v>12</v>
      </c>
      <c r="B1" s="7">
        <v>9</v>
      </c>
      <c r="C1" s="66" t="s">
        <v>13</v>
      </c>
    </row>
    <row r="2" spans="1:6" x14ac:dyDescent="0.2">
      <c r="A2" s="10" t="s">
        <v>14</v>
      </c>
      <c r="B2" s="4"/>
      <c r="C2" s="66" t="s">
        <v>15</v>
      </c>
    </row>
    <row r="3" spans="1:6" x14ac:dyDescent="0.2">
      <c r="A3" s="8" t="s">
        <v>16</v>
      </c>
      <c r="B3" s="3">
        <v>23</v>
      </c>
    </row>
    <row r="5" spans="1:6" x14ac:dyDescent="0.2">
      <c r="A5" s="16" t="s">
        <v>17</v>
      </c>
      <c r="B5" s="3" t="s">
        <v>18</v>
      </c>
      <c r="C5" s="68">
        <v>978.87120000000004</v>
      </c>
      <c r="D5">
        <f>(B3*C5)-B3</f>
        <v>22491.0376</v>
      </c>
      <c r="F5" s="65">
        <f>IF(D5&gt;0,D5," ")</f>
        <v>22491.0376</v>
      </c>
    </row>
    <row r="6" spans="1:6" x14ac:dyDescent="0.2">
      <c r="A6" s="64">
        <f>(SUM(F5:F13)/B1)</f>
        <v>22491.189344444443</v>
      </c>
      <c r="C6" s="69">
        <v>938.13</v>
      </c>
      <c r="D6">
        <f>(($B$3+1)*C6)-($B$3+1)</f>
        <v>22491.119999999999</v>
      </c>
      <c r="F6" s="65">
        <f>IF(D6&gt;0,D6," ")</f>
        <v>22491.119999999999</v>
      </c>
    </row>
    <row r="7" spans="1:6" x14ac:dyDescent="0.2">
      <c r="A7"/>
      <c r="C7" s="67">
        <v>900.63409999999999</v>
      </c>
      <c r="D7">
        <f>(($B$3+2)*C7)-($B$3+2)</f>
        <v>22490.852500000001</v>
      </c>
      <c r="F7" s="65">
        <f t="shared" ref="F7:F14" si="0">IF(D7&gt;0,D7," ")</f>
        <v>22490.852500000001</v>
      </c>
    </row>
    <row r="8" spans="1:6" x14ac:dyDescent="0.2">
      <c r="A8"/>
      <c r="C8" s="67">
        <v>866.03570000000002</v>
      </c>
      <c r="D8">
        <f>(($B$3+3)*C8)-($B$3+3)</f>
        <v>22490.928200000002</v>
      </c>
      <c r="F8" s="65">
        <f t="shared" si="0"/>
        <v>22490.928200000002</v>
      </c>
    </row>
    <row r="9" spans="1:6" x14ac:dyDescent="0.2">
      <c r="A9" s="6" t="s">
        <v>19</v>
      </c>
      <c r="C9" s="69">
        <v>833.99869999999999</v>
      </c>
      <c r="D9">
        <f>(($B$3+4)*C9)-($B$3+4)</f>
        <v>22490.964899999999</v>
      </c>
      <c r="F9" s="65">
        <f t="shared" si="0"/>
        <v>22490.964899999999</v>
      </c>
    </row>
    <row r="10" spans="1:6" x14ac:dyDescent="0.2">
      <c r="A10" s="6" t="s">
        <v>20</v>
      </c>
      <c r="C10" s="69">
        <v>804.24990000000003</v>
      </c>
      <c r="D10">
        <f>(($B$3+5)*C10)-($B$3+5)</f>
        <v>22490.997200000002</v>
      </c>
      <c r="F10" s="65">
        <f t="shared" si="0"/>
        <v>22490.997200000002</v>
      </c>
    </row>
    <row r="11" spans="1:6" x14ac:dyDescent="0.2">
      <c r="A11" s="6" t="s">
        <v>21</v>
      </c>
      <c r="C11" s="69">
        <v>776.54539999999997</v>
      </c>
      <c r="D11">
        <f>(($B$3+6)*C11)-($B$3+6)</f>
        <v>22490.816599999998</v>
      </c>
      <c r="F11" s="65">
        <f t="shared" si="0"/>
        <v>22490.816599999998</v>
      </c>
    </row>
    <row r="12" spans="1:6" x14ac:dyDescent="0.2">
      <c r="A12" s="5" t="s">
        <v>22</v>
      </c>
      <c r="C12" s="69">
        <v>750.70529999999997</v>
      </c>
      <c r="D12">
        <f>(($B$3+7)*C12)-($B$3+7)</f>
        <v>22491.159</v>
      </c>
      <c r="F12" s="65">
        <f t="shared" si="0"/>
        <v>22491.159</v>
      </c>
    </row>
    <row r="13" spans="1:6" x14ac:dyDescent="0.2">
      <c r="A13" s="5"/>
      <c r="C13" s="69">
        <v>726.57510000000002</v>
      </c>
      <c r="D13">
        <f>(($B$3+8)*C13)-($B$3+8)</f>
        <v>22492.828099999999</v>
      </c>
      <c r="F13" s="65">
        <f t="shared" si="0"/>
        <v>22492.828099999999</v>
      </c>
    </row>
    <row r="14" spans="1:6" x14ac:dyDescent="0.2">
      <c r="A14" s="5" t="s">
        <v>23</v>
      </c>
      <c r="C14" s="69"/>
      <c r="D14">
        <f>(($B$3+9)*C14)-($B$3+9)</f>
        <v>-32</v>
      </c>
      <c r="F14" s="65" t="str">
        <f t="shared" si="0"/>
        <v xml:space="preserve"> </v>
      </c>
    </row>
    <row r="15" spans="1:6" x14ac:dyDescent="0.2">
      <c r="A15" s="5" t="s">
        <v>24</v>
      </c>
      <c r="C15" s="69"/>
      <c r="D15">
        <f>(($B$3+10)*C15)-($B$3+10)</f>
        <v>-33</v>
      </c>
      <c r="F15" s="65" t="str">
        <f t="shared" ref="F15:F20" si="1">IF(D15&gt;0,D15," ")</f>
        <v xml:space="preserve"> </v>
      </c>
    </row>
    <row r="16" spans="1:6" x14ac:dyDescent="0.2">
      <c r="A16" s="11"/>
      <c r="C16" s="69"/>
      <c r="D16">
        <f>(($B$3+11)*C16)-($B$3+11)</f>
        <v>-34</v>
      </c>
      <c r="F16" s="65" t="str">
        <f t="shared" si="1"/>
        <v xml:space="preserve"> </v>
      </c>
    </row>
    <row r="17" spans="3:6" x14ac:dyDescent="0.2">
      <c r="C17" s="69"/>
      <c r="D17">
        <f>(($B$3+12)*C17)-($B$3+12)</f>
        <v>-35</v>
      </c>
      <c r="F17" s="65" t="str">
        <f t="shared" si="1"/>
        <v xml:space="preserve"> </v>
      </c>
    </row>
    <row r="18" spans="3:6" x14ac:dyDescent="0.2">
      <c r="C18" s="69"/>
      <c r="D18">
        <f>(($B$3+13)*C18)-($B$3+13)</f>
        <v>-36</v>
      </c>
      <c r="F18" s="65" t="str">
        <f t="shared" si="1"/>
        <v xml:space="preserve"> </v>
      </c>
    </row>
    <row r="19" spans="3:6" x14ac:dyDescent="0.2">
      <c r="C19" s="69"/>
      <c r="D19">
        <f>(($B$3+14)*C19)-($B$3+14)</f>
        <v>-37</v>
      </c>
      <c r="F19" s="65" t="str">
        <f t="shared" si="1"/>
        <v xml:space="preserve"> </v>
      </c>
    </row>
    <row r="20" spans="3:6" x14ac:dyDescent="0.2">
      <c r="C20" s="69"/>
      <c r="D20">
        <f>(($B$3+15)*C20)-($B$3+15)</f>
        <v>-38</v>
      </c>
      <c r="F20" s="65" t="str">
        <f t="shared" si="1"/>
        <v xml:space="preserve"> </v>
      </c>
    </row>
    <row r="21" spans="3:6" x14ac:dyDescent="0.2">
      <c r="C21" s="69"/>
    </row>
    <row r="22" spans="3:6" x14ac:dyDescent="0.2">
      <c r="C22" s="69"/>
    </row>
  </sheetData>
  <phoneticPr fontId="11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12" sqref="A12"/>
    </sheetView>
  </sheetViews>
  <sheetFormatPr defaultRowHeight="12.75" x14ac:dyDescent="0.2"/>
  <cols>
    <col min="1" max="1" width="29.7109375" customWidth="1"/>
    <col min="2" max="2" width="10.28515625" customWidth="1"/>
    <col min="3" max="3" width="18.28515625" style="19" customWidth="1"/>
    <col min="4" max="4" width="1.7109375" style="23" customWidth="1"/>
    <col min="5" max="5" width="1.7109375" customWidth="1"/>
  </cols>
  <sheetData>
    <row r="1" spans="1:6" x14ac:dyDescent="0.2">
      <c r="A1" s="8" t="s">
        <v>12</v>
      </c>
      <c r="B1" s="7">
        <v>4</v>
      </c>
      <c r="C1" s="18" t="s">
        <v>13</v>
      </c>
      <c r="D1" s="21"/>
      <c r="F1" s="9"/>
    </row>
    <row r="2" spans="1:6" x14ac:dyDescent="0.2">
      <c r="A2" s="10" t="s">
        <v>25</v>
      </c>
      <c r="B2" s="4"/>
      <c r="C2" s="18" t="s">
        <v>15</v>
      </c>
      <c r="D2" s="21"/>
      <c r="F2" s="9"/>
    </row>
    <row r="3" spans="1:6" x14ac:dyDescent="0.2">
      <c r="A3" s="8" t="s">
        <v>16</v>
      </c>
      <c r="B3" s="3">
        <v>1</v>
      </c>
      <c r="C3" s="18"/>
      <c r="D3" s="21"/>
      <c r="F3" s="9"/>
    </row>
    <row r="4" spans="1:6" x14ac:dyDescent="0.2">
      <c r="A4" s="2"/>
      <c r="B4" s="3"/>
      <c r="C4" s="18"/>
      <c r="D4" s="21"/>
      <c r="F4" s="9"/>
    </row>
    <row r="5" spans="1:6" x14ac:dyDescent="0.2">
      <c r="A5" s="16" t="s">
        <v>17</v>
      </c>
      <c r="B5" s="3" t="s">
        <v>18</v>
      </c>
      <c r="C5" s="19">
        <v>2008.7</v>
      </c>
      <c r="D5" s="22">
        <f>(B3*C5)+B3</f>
        <v>2009.7</v>
      </c>
      <c r="F5" s="9">
        <f t="shared" ref="F5:F16" si="0">IF(C5&gt;0,D5," ")</f>
        <v>2009.7</v>
      </c>
    </row>
    <row r="6" spans="1:6" x14ac:dyDescent="0.2">
      <c r="A6" s="17">
        <f>(SUM(F5:F13)/B1)</f>
        <v>2009.7050000000002</v>
      </c>
      <c r="B6" s="3"/>
      <c r="C6" s="19">
        <v>1003.85</v>
      </c>
      <c r="D6" s="22">
        <f>(($B$3+1)*C6)+($B$3+1)</f>
        <v>2009.7</v>
      </c>
      <c r="F6" s="9">
        <f t="shared" si="0"/>
        <v>2009.7</v>
      </c>
    </row>
    <row r="7" spans="1:6" x14ac:dyDescent="0.2">
      <c r="B7" s="3"/>
      <c r="C7" s="19">
        <v>668.9</v>
      </c>
      <c r="D7" s="22">
        <f>(($B$3+2)*C7)+($B$3+2)</f>
        <v>2009.6999999999998</v>
      </c>
      <c r="F7" s="9">
        <f t="shared" si="0"/>
        <v>2009.6999999999998</v>
      </c>
    </row>
    <row r="8" spans="1:6" x14ac:dyDescent="0.2">
      <c r="B8" s="3"/>
      <c r="C8" s="19">
        <v>501.43</v>
      </c>
      <c r="D8" s="22">
        <f>(($B$3+3)*C8)+($B$3+3)</f>
        <v>2009.72</v>
      </c>
      <c r="F8" s="9">
        <f t="shared" si="0"/>
        <v>2009.72</v>
      </c>
    </row>
    <row r="9" spans="1:6" x14ac:dyDescent="0.2">
      <c r="A9" s="6" t="s">
        <v>19</v>
      </c>
      <c r="B9" s="3"/>
      <c r="D9" s="22">
        <f>(($B$3+4)*C9)+($B$3+4)</f>
        <v>5</v>
      </c>
      <c r="F9" s="9" t="str">
        <f t="shared" si="0"/>
        <v xml:space="preserve"> </v>
      </c>
    </row>
    <row r="10" spans="1:6" x14ac:dyDescent="0.2">
      <c r="A10" s="6" t="s">
        <v>20</v>
      </c>
      <c r="B10" s="3"/>
      <c r="D10" s="22">
        <f>(($B$3+5)*C10)+($B$3+5)</f>
        <v>6</v>
      </c>
      <c r="F10" s="9" t="str">
        <f t="shared" si="0"/>
        <v xml:space="preserve"> </v>
      </c>
    </row>
    <row r="11" spans="1:6" x14ac:dyDescent="0.2">
      <c r="A11" s="6" t="s">
        <v>21</v>
      </c>
      <c r="B11" s="3"/>
      <c r="D11" s="22">
        <f>(($B$3+6)*C11)+($B$3+6)</f>
        <v>7</v>
      </c>
      <c r="F11" s="9" t="str">
        <f t="shared" si="0"/>
        <v xml:space="preserve"> </v>
      </c>
    </row>
    <row r="12" spans="1:6" x14ac:dyDescent="0.2">
      <c r="A12" s="5" t="s">
        <v>22</v>
      </c>
      <c r="B12" s="3"/>
      <c r="D12" s="22">
        <f>(($B$3+7)*C12)+($B$3+7)</f>
        <v>8</v>
      </c>
      <c r="F12" s="9" t="str">
        <f t="shared" si="0"/>
        <v xml:space="preserve"> </v>
      </c>
    </row>
    <row r="13" spans="1:6" x14ac:dyDescent="0.2">
      <c r="A13" s="5"/>
      <c r="B13" s="3"/>
      <c r="D13" s="22">
        <f>(($B$3+8)*C13)+($B$3+8)</f>
        <v>9</v>
      </c>
      <c r="F13" s="9" t="str">
        <f t="shared" si="0"/>
        <v xml:space="preserve"> </v>
      </c>
    </row>
    <row r="14" spans="1:6" x14ac:dyDescent="0.2">
      <c r="A14" s="5" t="s">
        <v>26</v>
      </c>
      <c r="B14" s="3"/>
      <c r="C14" s="20"/>
      <c r="D14" s="22">
        <f>(($B$3+9)*C14)+($B$3+9)</f>
        <v>10</v>
      </c>
      <c r="F14" s="9" t="str">
        <f t="shared" si="0"/>
        <v xml:space="preserve"> </v>
      </c>
    </row>
    <row r="15" spans="1:6" x14ac:dyDescent="0.2">
      <c r="A15" s="5" t="s">
        <v>24</v>
      </c>
      <c r="B15" s="3"/>
      <c r="C15" s="20"/>
      <c r="D15" s="22">
        <f>(($B$3+10)*C15)+($B$3+10)</f>
        <v>11</v>
      </c>
      <c r="F15" s="9" t="str">
        <f t="shared" si="0"/>
        <v xml:space="preserve"> </v>
      </c>
    </row>
    <row r="16" spans="1:6" x14ac:dyDescent="0.2">
      <c r="A16" s="2"/>
      <c r="B16" s="3"/>
      <c r="C16" s="20"/>
      <c r="D16" s="22">
        <f>(($B$3+11)*C16)+($B$3+11)</f>
        <v>12</v>
      </c>
      <c r="F16" s="9" t="str">
        <f t="shared" si="0"/>
        <v xml:space="preserve"> </v>
      </c>
    </row>
    <row r="17" spans="4:4" x14ac:dyDescent="0.2">
      <c r="D17" s="22">
        <f>(($B$3+12)*C17)+($B$3+12)</f>
        <v>13</v>
      </c>
    </row>
    <row r="18" spans="4:4" x14ac:dyDescent="0.2">
      <c r="D18" s="22">
        <f>(($B$3+13)*C18)+($B$3+13)</f>
        <v>14</v>
      </c>
    </row>
    <row r="19" spans="4:4" x14ac:dyDescent="0.2">
      <c r="D19" s="22">
        <f>(($B$3+14)*C19)+($B$3+14)</f>
        <v>15</v>
      </c>
    </row>
    <row r="20" spans="4:4" x14ac:dyDescent="0.2">
      <c r="D20" s="22">
        <f>(($B$3+15)*C20)+($B$3+15)</f>
        <v>16</v>
      </c>
    </row>
  </sheetData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Single positive ion</vt:lpstr>
      <vt:lpstr>Single negative ion</vt:lpstr>
      <vt:lpstr>Positive ion series</vt:lpstr>
      <vt:lpstr>Negative ion series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</dc:creator>
  <cp:lastModifiedBy>wishnok</cp:lastModifiedBy>
  <cp:lastPrinted>2004-04-27T19:35:40Z</cp:lastPrinted>
  <dcterms:created xsi:type="dcterms:W3CDTF">1998-01-31T17:22:25Z</dcterms:created>
  <dcterms:modified xsi:type="dcterms:W3CDTF">2012-06-26T18:44:45Z</dcterms:modified>
</cp:coreProperties>
</file>