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locum/Dropbox (MIT)/ASPE/ASPE 2020 tutorials/Error Modeling and Error Budgeting/"/>
    </mc:Choice>
  </mc:AlternateContent>
  <xr:revisionPtr revIDLastSave="0" documentId="13_ncr:1_{148D7081-FD56-B74F-AC02-07A9E1E474C5}" xr6:coauthVersionLast="45" xr6:coauthVersionMax="45" xr10:uidLastSave="{00000000-0000-0000-0000-000000000000}"/>
  <bookViews>
    <workbookView xWindow="1220" yWindow="460" windowWidth="23680" windowHeight="17940" tabRatio="500" xr2:uid="{00000000-000D-0000-FFFF-FFFF00000000}"/>
  </bookViews>
  <sheets>
    <sheet name="Axis 1" sheetId="1" r:id="rId1"/>
    <sheet name="Axis 2" sheetId="4" r:id="rId2"/>
    <sheet name="Axis 3" sheetId="5" r:id="rId3"/>
    <sheet name="Axis 4" sheetId="6" r:id="rId4"/>
    <sheet name="Summary" sheetId="7" r:id="rId5"/>
    <sheet name="HTM formulas" sheetId="2" r:id="rId6"/>
  </sheets>
  <definedNames>
    <definedName name="dbh">'Axis 1'!#REF!</definedName>
    <definedName name="dbv">'Axis 1'!#REF!</definedName>
    <definedName name="deflx_1">'Axis 1'!$B$75</definedName>
    <definedName name="defly_1">'Axis 1'!$B$76</definedName>
    <definedName name="deflz_1">'Axis 1'!$B$77</definedName>
    <definedName name="delbear">'Axis 1'!$B$84</definedName>
    <definedName name="delforce">'Axis 1'!$B$86</definedName>
    <definedName name="depsx_1">'Axis 1'!$B$79</definedName>
    <definedName name="depsy_1">'Axis 1'!$B$80</definedName>
    <definedName name="depsz_1">'Axis 1'!$B$81</definedName>
    <definedName name="dservo_1">'Axis 1'!$B$14</definedName>
    <definedName name="dx_epsx_1">'Axis 1'!$B$88</definedName>
    <definedName name="dx_epsy_1">'Axis 1'!$C$88</definedName>
    <definedName name="dx_epsz_1">'Axis 1'!$D$88</definedName>
    <definedName name="dxbr_1">'Axis 1'!$B$51</definedName>
    <definedName name="dxr_1">'Axis 1'!$B$56</definedName>
    <definedName name="dy_epsx_1">'Axis 1'!$B$89</definedName>
    <definedName name="dy_epsy_1">'Axis 1'!$C$89</definedName>
    <definedName name="dy_epsz_1">'Axis 1'!$D$89</definedName>
    <definedName name="dybr_1">'Axis 1'!$B$52</definedName>
    <definedName name="dyr_1">'Axis 1'!$B$57</definedName>
    <definedName name="dz_epsx_1">'Axis 1'!$B$90</definedName>
    <definedName name="dz_epsy_1">'Axis 1'!$C$90</definedName>
    <definedName name="dz_epsz_1">'Axis 1'!$D$90</definedName>
    <definedName name="dzbr_1">'Axis 1'!$B$53</definedName>
    <definedName name="dzr_1">'Axis 1'!$B$58</definedName>
    <definedName name="epsaxis">'Axis 1'!$B$85</definedName>
    <definedName name="epsx_1">'Axis 1'!#REF!</definedName>
    <definedName name="epsxg">'Axis 1'!$B$101</definedName>
    <definedName name="epsy_1">'Axis 1'!#REF!</definedName>
    <definedName name="epsyg">'Axis 1'!$B$102</definedName>
    <definedName name="epsz_1">'Axis 1'!#REF!</definedName>
    <definedName name="epszg">'Axis 1'!$B$103</definedName>
    <definedName name="exr_1">'Axis 1'!$B$60</definedName>
    <definedName name="eyr_1">'Axis 1'!$B$61</definedName>
    <definedName name="ezr_1">'Axis 1'!$B$62</definedName>
    <definedName name="Fc">'Axis 1'!$B$83</definedName>
    <definedName name="Fx_1">'Axis 1'!$B$28</definedName>
    <definedName name="Fxa_1">'Axis 1'!$B$20</definedName>
    <definedName name="Fxg_1">'Axis 1'!$D$20</definedName>
    <definedName name="Fy_1">'Axis 1'!$B$29</definedName>
    <definedName name="Fya_1">'Axis 1'!$B$21</definedName>
    <definedName name="Fyg_1">'Axis 1'!$D$21</definedName>
    <definedName name="Fz_1">'Axis 1'!$B$30</definedName>
    <definedName name="Fza_1">'Axis 1'!$B$22</definedName>
    <definedName name="Fzg_1">'Axis 1'!$D$22</definedName>
    <definedName name="Kforce">'Axis 1'!$B$87</definedName>
    <definedName name="Krotx_1">'Axis 1'!$B$70</definedName>
    <definedName name="Kroty_1">'Axis 1'!$B$71</definedName>
    <definedName name="Krotz_1">'Axis 1'!$B$72</definedName>
    <definedName name="Kservo_1">'Axis 1'!$B$65</definedName>
    <definedName name="Kx_1">'Axis 1'!$B$66</definedName>
    <definedName name="Ky_1">'Axis 1'!$B$67</definedName>
    <definedName name="Kz_1">'Axis 1'!$B$68</definedName>
    <definedName name="Mx_1">'Axis 1'!$B$31</definedName>
    <definedName name="Mxa_1">'Axis 1'!$B$24</definedName>
    <definedName name="Mxg_1">'Axis 1'!$D$24</definedName>
    <definedName name="My_1">'Axis 1'!$B$32</definedName>
    <definedName name="Mya_1">'Axis 1'!$B$25</definedName>
    <definedName name="Myg_1">'Axis 1'!$D$25</definedName>
    <definedName name="Mz_1">'Axis 1'!$B$33</definedName>
    <definedName name="Mza_1">'Axis 1'!$B$26</definedName>
    <definedName name="Mzg_1">'Axis 1'!$D$26</definedName>
    <definedName name="Nbear">'Axis 1'!$B$35</definedName>
    <definedName name="Xl_1">'Axis 1'!$B$10</definedName>
    <definedName name="Yl_1">'Axis 1'!$B$11</definedName>
    <definedName name="Zl_1">'Axis 1'!$B$12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2" i="1" l="1"/>
  <c r="B61" i="1"/>
  <c r="B60" i="1"/>
  <c r="B70" i="6"/>
  <c r="B71" i="6"/>
  <c r="B72" i="6"/>
  <c r="B57" i="6"/>
  <c r="F95" i="6"/>
  <c r="B60" i="6"/>
  <c r="B62" i="6"/>
  <c r="B61" i="6"/>
  <c r="B58" i="6"/>
  <c r="F96" i="6"/>
  <c r="D24" i="5"/>
  <c r="D10" i="4"/>
  <c r="D11" i="4"/>
  <c r="F45" i="1"/>
  <c r="G45" i="1"/>
  <c r="F46" i="1"/>
  <c r="G46" i="1"/>
  <c r="B122" i="6"/>
  <c r="C122" i="6"/>
  <c r="B123" i="6"/>
  <c r="C123" i="6"/>
  <c r="B116" i="6"/>
  <c r="D116" i="6"/>
  <c r="B118" i="6"/>
  <c r="D118" i="6"/>
  <c r="C111" i="6"/>
  <c r="D111" i="6"/>
  <c r="C112" i="6"/>
  <c r="D112" i="6"/>
  <c r="B30" i="1"/>
  <c r="C53" i="6"/>
  <c r="C68" i="6"/>
  <c r="B68" i="6"/>
  <c r="B29" i="1"/>
  <c r="B31" i="1"/>
  <c r="B32" i="1"/>
  <c r="B25" i="4" s="1"/>
  <c r="B33" i="1"/>
  <c r="B26" i="4" s="1"/>
  <c r="C52" i="6"/>
  <c r="C67" i="6" s="1"/>
  <c r="B67" i="6" s="1"/>
  <c r="B56" i="6"/>
  <c r="F94" i="6" s="1"/>
  <c r="C51" i="6"/>
  <c r="C66" i="6" s="1"/>
  <c r="B66" i="6" s="1"/>
  <c r="D43" i="6"/>
  <c r="C43" i="6"/>
  <c r="B43" i="6"/>
  <c r="D12" i="4"/>
  <c r="B107" i="4" s="1"/>
  <c r="B60" i="5"/>
  <c r="B61" i="5"/>
  <c r="B62" i="5"/>
  <c r="F94" i="5"/>
  <c r="B57" i="5"/>
  <c r="F95" i="5"/>
  <c r="B58" i="5"/>
  <c r="F96" i="5"/>
  <c r="B71" i="5"/>
  <c r="B72" i="5"/>
  <c r="B70" i="5"/>
  <c r="C51" i="5"/>
  <c r="C66" i="5"/>
  <c r="B66" i="5" s="1"/>
  <c r="B122" i="5"/>
  <c r="C122" i="5"/>
  <c r="B123" i="5"/>
  <c r="C123" i="5"/>
  <c r="B116" i="5"/>
  <c r="D116" i="5"/>
  <c r="B118" i="5"/>
  <c r="D118" i="5"/>
  <c r="C111" i="5"/>
  <c r="D111" i="5"/>
  <c r="C112" i="5"/>
  <c r="D112" i="5"/>
  <c r="C53" i="5"/>
  <c r="C68" i="5" s="1"/>
  <c r="B68" i="5" s="1"/>
  <c r="C52" i="5"/>
  <c r="C67" i="5"/>
  <c r="B67" i="5" s="1"/>
  <c r="B56" i="5"/>
  <c r="D43" i="5"/>
  <c r="C43" i="5"/>
  <c r="B43" i="5"/>
  <c r="B24" i="4"/>
  <c r="B21" i="4"/>
  <c r="B70" i="4"/>
  <c r="B105" i="4"/>
  <c r="B72" i="4"/>
  <c r="B71" i="4"/>
  <c r="C52" i="4"/>
  <c r="C67" i="4" s="1"/>
  <c r="B67" i="4" s="1"/>
  <c r="B60" i="4"/>
  <c r="B61" i="4"/>
  <c r="B62" i="4"/>
  <c r="B57" i="4"/>
  <c r="F95" i="4"/>
  <c r="B58" i="4"/>
  <c r="F96" i="4" s="1"/>
  <c r="F94" i="4"/>
  <c r="C51" i="4"/>
  <c r="C66" i="4" s="1"/>
  <c r="B66" i="4" s="1"/>
  <c r="B29" i="4"/>
  <c r="B21" i="5" s="1"/>
  <c r="B28" i="1"/>
  <c r="B72" i="1"/>
  <c r="B71" i="1"/>
  <c r="B70" i="1"/>
  <c r="C53" i="4"/>
  <c r="C68" i="4" s="1"/>
  <c r="B68" i="4" s="1"/>
  <c r="C53" i="1"/>
  <c r="C68" i="1" s="1"/>
  <c r="B68" i="1" s="1"/>
  <c r="C52" i="1"/>
  <c r="C67" i="1" s="1"/>
  <c r="B67" i="1" s="1"/>
  <c r="B76" i="1" s="1"/>
  <c r="C51" i="1"/>
  <c r="C66" i="1" s="1"/>
  <c r="B66" i="1" s="1"/>
  <c r="B56" i="4"/>
  <c r="B56" i="1"/>
  <c r="F94" i="1"/>
  <c r="D43" i="4"/>
  <c r="C43" i="4"/>
  <c r="B43" i="4"/>
  <c r="D43" i="1"/>
  <c r="C43" i="1"/>
  <c r="B43" i="1"/>
  <c r="B58" i="1"/>
  <c r="F96" i="1"/>
  <c r="B57" i="1"/>
  <c r="F95" i="1"/>
  <c r="C111" i="1"/>
  <c r="D111" i="1"/>
  <c r="C112" i="1"/>
  <c r="D112" i="1"/>
  <c r="B105" i="1"/>
  <c r="B106" i="1"/>
  <c r="B107" i="1"/>
  <c r="B116" i="1"/>
  <c r="D116" i="1"/>
  <c r="B118" i="1"/>
  <c r="D118" i="1"/>
  <c r="B122" i="1"/>
  <c r="C123" i="1" s="1"/>
  <c r="C122" i="1"/>
  <c r="B123" i="1"/>
  <c r="C111" i="4"/>
  <c r="D112" i="4" s="1"/>
  <c r="D111" i="4"/>
  <c r="C112" i="4"/>
  <c r="B116" i="4"/>
  <c r="D118" i="4"/>
  <c r="D116" i="4"/>
  <c r="B118" i="4"/>
  <c r="B122" i="4"/>
  <c r="C123" i="4" s="1"/>
  <c r="C122" i="4"/>
  <c r="B123" i="4"/>
  <c r="B81" i="1" l="1"/>
  <c r="B80" i="1"/>
  <c r="H110" i="1" a="1"/>
  <c r="H111" i="1" s="1"/>
  <c r="I111" i="1" s="1"/>
  <c r="J111" i="1" s="1"/>
  <c r="B89" i="1" s="1"/>
  <c r="G95" i="1" s="1"/>
  <c r="B79" i="1"/>
  <c r="H116" i="1" a="1"/>
  <c r="H118" i="1" s="1"/>
  <c r="I118" i="1" s="1"/>
  <c r="J118" i="1" s="1"/>
  <c r="C90" i="1" s="1"/>
  <c r="H96" i="1" s="1"/>
  <c r="H116" i="4" a="1"/>
  <c r="H112" i="1"/>
  <c r="I112" i="1" s="1"/>
  <c r="J112" i="1" s="1"/>
  <c r="B90" i="1" s="1"/>
  <c r="G96" i="1" s="1"/>
  <c r="B76" i="5"/>
  <c r="B29" i="5"/>
  <c r="B21" i="6" s="1"/>
  <c r="B75" i="1"/>
  <c r="B76" i="4"/>
  <c r="B77" i="1"/>
  <c r="H110" i="4" a="1"/>
  <c r="D11" i="5"/>
  <c r="H122" i="4" a="1"/>
  <c r="B106" i="4"/>
  <c r="D10" i="5"/>
  <c r="B20" i="4"/>
  <c r="B22" i="4"/>
  <c r="D12" i="5"/>
  <c r="H122" i="1" a="1"/>
  <c r="H110" i="1" l="1"/>
  <c r="I110" i="1" s="1"/>
  <c r="J110" i="1" s="1"/>
  <c r="B88" i="1" s="1"/>
  <c r="G94" i="1" s="1"/>
  <c r="H113" i="1"/>
  <c r="H117" i="1"/>
  <c r="I117" i="1" s="1"/>
  <c r="J117" i="1" s="1"/>
  <c r="C89" i="1" s="1"/>
  <c r="H95" i="1" s="1"/>
  <c r="H119" i="1"/>
  <c r="H116" i="1"/>
  <c r="I116" i="1" s="1"/>
  <c r="J116" i="1" s="1"/>
  <c r="C88" i="1" s="1"/>
  <c r="H94" i="1" s="1"/>
  <c r="B76" i="6"/>
  <c r="B29" i="6"/>
  <c r="B28" i="4"/>
  <c r="B20" i="5" s="1"/>
  <c r="B75" i="4"/>
  <c r="B33" i="4"/>
  <c r="B106" i="5"/>
  <c r="D11" i="6"/>
  <c r="H122" i="4"/>
  <c r="I122" i="4" s="1"/>
  <c r="J122" i="4" s="1"/>
  <c r="D88" i="4" s="1"/>
  <c r="I94" i="4" s="1"/>
  <c r="H125" i="4"/>
  <c r="H123" i="4"/>
  <c r="I123" i="4" s="1"/>
  <c r="J123" i="4" s="1"/>
  <c r="D89" i="4" s="1"/>
  <c r="I95" i="4" s="1"/>
  <c r="H124" i="4"/>
  <c r="I124" i="4" s="1"/>
  <c r="J124" i="4" s="1"/>
  <c r="D90" i="4" s="1"/>
  <c r="I96" i="4" s="1"/>
  <c r="H117" i="4"/>
  <c r="I117" i="4" s="1"/>
  <c r="J117" i="4" s="1"/>
  <c r="C89" i="4" s="1"/>
  <c r="H95" i="4" s="1"/>
  <c r="H116" i="4"/>
  <c r="I116" i="4" s="1"/>
  <c r="J116" i="4" s="1"/>
  <c r="C88" i="4" s="1"/>
  <c r="H94" i="4" s="1"/>
  <c r="H119" i="4"/>
  <c r="H118" i="4"/>
  <c r="I118" i="4" s="1"/>
  <c r="J118" i="4" s="1"/>
  <c r="C90" i="4" s="1"/>
  <c r="H96" i="4" s="1"/>
  <c r="B105" i="5"/>
  <c r="D10" i="6"/>
  <c r="B107" i="5"/>
  <c r="D12" i="6"/>
  <c r="H113" i="4"/>
  <c r="H111" i="4"/>
  <c r="I111" i="4" s="1"/>
  <c r="J111" i="4" s="1"/>
  <c r="B89" i="4" s="1"/>
  <c r="G95" i="4" s="1"/>
  <c r="H112" i="4"/>
  <c r="I112" i="4" s="1"/>
  <c r="J112" i="4" s="1"/>
  <c r="B90" i="4" s="1"/>
  <c r="G96" i="4" s="1"/>
  <c r="H110" i="4"/>
  <c r="I110" i="4" s="1"/>
  <c r="J110" i="4" s="1"/>
  <c r="B88" i="4" s="1"/>
  <c r="G94" i="4" s="1"/>
  <c r="H124" i="1"/>
  <c r="I124" i="1" s="1"/>
  <c r="J124" i="1" s="1"/>
  <c r="D90" i="1" s="1"/>
  <c r="I96" i="1" s="1"/>
  <c r="H123" i="1"/>
  <c r="I123" i="1" s="1"/>
  <c r="J123" i="1" s="1"/>
  <c r="D89" i="1" s="1"/>
  <c r="H125" i="1"/>
  <c r="H122" i="1"/>
  <c r="I122" i="1" s="1"/>
  <c r="J122" i="1" s="1"/>
  <c r="D88" i="1" s="1"/>
  <c r="I94" i="1" s="1"/>
  <c r="B96" i="1"/>
  <c r="C11" i="7" s="1"/>
  <c r="B30" i="4"/>
  <c r="B22" i="5" s="1"/>
  <c r="B77" i="4"/>
  <c r="B31" i="4"/>
  <c r="B32" i="4"/>
  <c r="B106" i="6" l="1"/>
  <c r="B28" i="5"/>
  <c r="B20" i="6" s="1"/>
  <c r="B75" i="5"/>
  <c r="B107" i="6"/>
  <c r="B77" i="5"/>
  <c r="B30" i="5"/>
  <c r="B22" i="6" s="1"/>
  <c r="B94" i="1"/>
  <c r="C9" i="7" s="1"/>
  <c r="B79" i="4"/>
  <c r="B24" i="5"/>
  <c r="B31" i="5" s="1"/>
  <c r="B105" i="6"/>
  <c r="I95" i="1"/>
  <c r="B95" i="1"/>
  <c r="C10" i="7" s="1"/>
  <c r="J96" i="4"/>
  <c r="M96" i="4"/>
  <c r="K96" i="4"/>
  <c r="H116" i="5" a="1"/>
  <c r="H122" i="5" a="1"/>
  <c r="H110" i="5" a="1"/>
  <c r="J94" i="4"/>
  <c r="K94" i="4"/>
  <c r="M94" i="4"/>
  <c r="M94" i="1"/>
  <c r="K94" i="1"/>
  <c r="B81" i="4"/>
  <c r="B26" i="5"/>
  <c r="B33" i="5" s="1"/>
  <c r="B80" i="4"/>
  <c r="B96" i="4" s="1"/>
  <c r="C15" i="7" s="1"/>
  <c r="B25" i="5"/>
  <c r="B32" i="5" s="1"/>
  <c r="M96" i="1"/>
  <c r="K96" i="1"/>
  <c r="J96" i="1"/>
  <c r="L96" i="1" s="1"/>
  <c r="N96" i="1" s="1"/>
  <c r="C96" i="1" s="1"/>
  <c r="D11" i="7" s="1"/>
  <c r="J95" i="4"/>
  <c r="L95" i="4" s="1"/>
  <c r="M95" i="4"/>
  <c r="K95" i="4"/>
  <c r="J94" i="1"/>
  <c r="B81" i="5" l="1"/>
  <c r="B26" i="6"/>
  <c r="M95" i="1"/>
  <c r="K95" i="1"/>
  <c r="J95" i="1"/>
  <c r="B77" i="6"/>
  <c r="B30" i="6"/>
  <c r="H117" i="5"/>
  <c r="I117" i="5" s="1"/>
  <c r="J117" i="5" s="1"/>
  <c r="C89" i="5" s="1"/>
  <c r="H95" i="5" s="1"/>
  <c r="H119" i="5"/>
  <c r="H116" i="5"/>
  <c r="I116" i="5" s="1"/>
  <c r="J116" i="5" s="1"/>
  <c r="C88" i="5" s="1"/>
  <c r="H94" i="5" s="1"/>
  <c r="H118" i="5"/>
  <c r="I118" i="5" s="1"/>
  <c r="J118" i="5" s="1"/>
  <c r="C90" i="5" s="1"/>
  <c r="H96" i="5" s="1"/>
  <c r="N95" i="4"/>
  <c r="C95" i="4" s="1"/>
  <c r="D14" i="7" s="1"/>
  <c r="B80" i="5"/>
  <c r="B25" i="6"/>
  <c r="B32" i="6" s="1"/>
  <c r="B80" i="6" s="1"/>
  <c r="B94" i="4"/>
  <c r="C13" i="7" s="1"/>
  <c r="B95" i="4"/>
  <c r="C14" i="7" s="1"/>
  <c r="H124" i="5"/>
  <c r="I124" i="5" s="1"/>
  <c r="J124" i="5" s="1"/>
  <c r="D90" i="5" s="1"/>
  <c r="I96" i="5" s="1"/>
  <c r="H125" i="5"/>
  <c r="H122" i="5"/>
  <c r="I122" i="5" s="1"/>
  <c r="J122" i="5" s="1"/>
  <c r="D88" i="5" s="1"/>
  <c r="I94" i="5" s="1"/>
  <c r="H123" i="5"/>
  <c r="I123" i="5" s="1"/>
  <c r="J123" i="5" s="1"/>
  <c r="D89" i="5" s="1"/>
  <c r="I95" i="5" s="1"/>
  <c r="H116" i="6" a="1"/>
  <c r="H110" i="6" a="1"/>
  <c r="H122" i="6" a="1"/>
  <c r="B33" i="6"/>
  <c r="B81" i="6" s="1"/>
  <c r="B75" i="6"/>
  <c r="B28" i="6"/>
  <c r="L94" i="1"/>
  <c r="N94" i="1" s="1"/>
  <c r="C94" i="1" s="1"/>
  <c r="D9" i="7" s="1"/>
  <c r="L94" i="4"/>
  <c r="N94" i="4" s="1"/>
  <c r="C94" i="4" s="1"/>
  <c r="D13" i="7" s="1"/>
  <c r="B24" i="6"/>
  <c r="B31" i="6" s="1"/>
  <c r="B79" i="6" s="1"/>
  <c r="B79" i="5"/>
  <c r="L96" i="4"/>
  <c r="N96" i="4" s="1"/>
  <c r="C96" i="4" s="1"/>
  <c r="D15" i="7" s="1"/>
  <c r="H110" i="5"/>
  <c r="I110" i="5" s="1"/>
  <c r="J110" i="5" s="1"/>
  <c r="B88" i="5" s="1"/>
  <c r="G94" i="5" s="1"/>
  <c r="H112" i="5"/>
  <c r="I112" i="5" s="1"/>
  <c r="J112" i="5" s="1"/>
  <c r="B90" i="5" s="1"/>
  <c r="G96" i="5" s="1"/>
  <c r="H111" i="5"/>
  <c r="I111" i="5" s="1"/>
  <c r="J111" i="5" s="1"/>
  <c r="B89" i="5" s="1"/>
  <c r="G95" i="5" s="1"/>
  <c r="H113" i="5"/>
  <c r="L95" i="1" l="1"/>
  <c r="N95" i="1" s="1"/>
  <c r="C95" i="1" s="1"/>
  <c r="D10" i="7" s="1"/>
  <c r="H118" i="6"/>
  <c r="I118" i="6" s="1"/>
  <c r="J118" i="6" s="1"/>
  <c r="C90" i="6" s="1"/>
  <c r="H96" i="6" s="1"/>
  <c r="H117" i="6"/>
  <c r="I117" i="6" s="1"/>
  <c r="J117" i="6" s="1"/>
  <c r="C89" i="6" s="1"/>
  <c r="H95" i="6" s="1"/>
  <c r="H116" i="6"/>
  <c r="I116" i="6" s="1"/>
  <c r="J116" i="6" s="1"/>
  <c r="C88" i="6" s="1"/>
  <c r="H94" i="6" s="1"/>
  <c r="H119" i="6"/>
  <c r="K95" i="5"/>
  <c r="M95" i="5"/>
  <c r="J95" i="5"/>
  <c r="H124" i="6"/>
  <c r="I124" i="6" s="1"/>
  <c r="J124" i="6" s="1"/>
  <c r="D90" i="6" s="1"/>
  <c r="I96" i="6" s="1"/>
  <c r="H123" i="6"/>
  <c r="I123" i="6" s="1"/>
  <c r="J123" i="6" s="1"/>
  <c r="D89" i="6" s="1"/>
  <c r="I95" i="6" s="1"/>
  <c r="H122" i="6"/>
  <c r="I122" i="6" s="1"/>
  <c r="J122" i="6" s="1"/>
  <c r="D88" i="6" s="1"/>
  <c r="I94" i="6" s="1"/>
  <c r="H125" i="6"/>
  <c r="K96" i="5"/>
  <c r="J96" i="5"/>
  <c r="L96" i="5" s="1"/>
  <c r="N96" i="5" s="1"/>
  <c r="C96" i="5" s="1"/>
  <c r="D19" i="7" s="1"/>
  <c r="M96" i="5"/>
  <c r="B94" i="5"/>
  <c r="C17" i="7" s="1"/>
  <c r="B95" i="5"/>
  <c r="C18" i="7" s="1"/>
  <c r="M94" i="5"/>
  <c r="J94" i="5"/>
  <c r="K94" i="5"/>
  <c r="H111" i="6"/>
  <c r="I111" i="6" s="1"/>
  <c r="J111" i="6" s="1"/>
  <c r="B89" i="6" s="1"/>
  <c r="G95" i="6" s="1"/>
  <c r="H110" i="6"/>
  <c r="I110" i="6" s="1"/>
  <c r="J110" i="6" s="1"/>
  <c r="B88" i="6" s="1"/>
  <c r="G94" i="6" s="1"/>
  <c r="H112" i="6"/>
  <c r="I112" i="6" s="1"/>
  <c r="J112" i="6" s="1"/>
  <c r="B90" i="6" s="1"/>
  <c r="G96" i="6" s="1"/>
  <c r="H113" i="6"/>
  <c r="B96" i="5"/>
  <c r="C19" i="7" s="1"/>
  <c r="L94" i="5" l="1"/>
  <c r="N94" i="5"/>
  <c r="C94" i="5" s="1"/>
  <c r="D17" i="7" s="1"/>
  <c r="L95" i="5"/>
  <c r="N95" i="5" s="1"/>
  <c r="C95" i="5" s="1"/>
  <c r="D18" i="7" s="1"/>
  <c r="J96" i="6"/>
  <c r="K96" i="6"/>
  <c r="M96" i="6"/>
  <c r="B95" i="6"/>
  <c r="C22" i="7" s="1"/>
  <c r="C6" i="7" s="1"/>
  <c r="K95" i="6"/>
  <c r="J95" i="6"/>
  <c r="M95" i="6"/>
  <c r="B94" i="6"/>
  <c r="C21" i="7" s="1"/>
  <c r="C5" i="7" s="1"/>
  <c r="B96" i="6"/>
  <c r="C23" i="7" s="1"/>
  <c r="C7" i="7" s="1"/>
  <c r="J94" i="6"/>
  <c r="K94" i="6"/>
  <c r="M94" i="6"/>
  <c r="L94" i="6" l="1"/>
  <c r="N94" i="6" s="1"/>
  <c r="C94" i="6" s="1"/>
  <c r="D21" i="7" s="1"/>
  <c r="D5" i="7" s="1"/>
  <c r="L95" i="6"/>
  <c r="N95" i="6" s="1"/>
  <c r="C95" i="6" s="1"/>
  <c r="D22" i="7" s="1"/>
  <c r="D6" i="7" s="1"/>
  <c r="L96" i="6"/>
  <c r="N96" i="6" s="1"/>
  <c r="C96" i="6" s="1"/>
  <c r="D23" i="7" s="1"/>
  <c r="D7" i="7" s="1"/>
</calcChain>
</file>

<file path=xl/sharedStrings.xml><?xml version="1.0" encoding="utf-8"?>
<sst xmlns="http://schemas.openxmlformats.org/spreadsheetml/2006/main" count="767" uniqueCount="227">
  <si>
    <t>written by Alex Slocum, 2015.07.18</t>
  </si>
  <si>
    <t>Bearings</t>
  </si>
  <si>
    <t>HTM for epsy_1</t>
  </si>
  <si>
    <t>HTM for epsx_1</t>
  </si>
  <si>
    <t>HTM for epsz_1</t>
  </si>
  <si>
    <t>Tool tip coordinate vector</t>
  </si>
  <si>
    <t>xt</t>
  </si>
  <si>
    <t>yt</t>
  </si>
  <si>
    <t>zt</t>
  </si>
  <si>
    <t>x_1=</t>
  </si>
  <si>
    <t>y_1=</t>
  </si>
  <si>
    <t>z_1=</t>
  </si>
  <si>
    <t>position</t>
  </si>
  <si>
    <t>error</t>
  </si>
  <si>
    <t>error gain</t>
  </si>
  <si>
    <t>Moment, Mx_1</t>
  </si>
  <si>
    <t>Moment, My_1</t>
  </si>
  <si>
    <t>Moment, Mz_1</t>
  </si>
  <si>
    <t>Axis stiffnesses</t>
  </si>
  <si>
    <t>Y direction, Ky_1</t>
  </si>
  <si>
    <t>Z direction, Kz_1</t>
  </si>
  <si>
    <t>Rotational Stiffness</t>
  </si>
  <si>
    <t>Linear stiffness</t>
  </si>
  <si>
    <t>About X axis, Krotx_1</t>
  </si>
  <si>
    <t>About Y axis, Kroty_1</t>
  </si>
  <si>
    <t>About Z axis, Krotz_1</t>
  </si>
  <si>
    <t>Resulting loads at Center of Stiffness</t>
  </si>
  <si>
    <t>Fx_1</t>
  </si>
  <si>
    <t>Fy_1</t>
  </si>
  <si>
    <t>Fz_1</t>
  </si>
  <si>
    <t xml:space="preserve"> Stiffness of each bearing (from catalog or FEA estimate)</t>
  </si>
  <si>
    <t>deflx_1</t>
  </si>
  <si>
    <t>defly_1</t>
  </si>
  <si>
    <t>deflz_1</t>
  </si>
  <si>
    <t>depsx_1</t>
  </si>
  <si>
    <t>depsy_1</t>
  </si>
  <si>
    <t>depsz_1</t>
  </si>
  <si>
    <t>Linear</t>
  </si>
  <si>
    <t>Angular</t>
  </si>
  <si>
    <t>Error gain calculations</t>
  </si>
  <si>
    <t>Rotation values for gain calculations</t>
  </si>
  <si>
    <t>Error_Budget_Single_Cartesion_Axis_System</t>
  </si>
  <si>
    <t>epsxg</t>
  </si>
  <si>
    <t>epsyg</t>
  </si>
  <si>
    <t>epszg</t>
  </si>
  <si>
    <t>Position, error, &amp; error gain of tool tip due to epsxg</t>
  </si>
  <si>
    <t>Position, error, &amp; error gain of tool tip due to epsyg</t>
  </si>
  <si>
    <t>Position, error, &amp; error gain of tool tip due to epszg</t>
  </si>
  <si>
    <t>Linear (force)</t>
  </si>
  <si>
    <t>Angular (torque)</t>
  </si>
  <si>
    <t>Fxa_1</t>
  </si>
  <si>
    <t>Fya_1</t>
  </si>
  <si>
    <t>Fza_1</t>
  </si>
  <si>
    <t>Mxa_1</t>
  </si>
  <si>
    <t>Mya_1</t>
  </si>
  <si>
    <t>Mza_1</t>
  </si>
  <si>
    <t>create error gain matric and then random and sys error totals</t>
  </si>
  <si>
    <t>dx</t>
  </si>
  <si>
    <t>Error gain matrix: rotational errors effects on point of load application (the next Coordinate System's origin)</t>
  </si>
  <si>
    <t>dy</t>
  </si>
  <si>
    <t>dz</t>
  </si>
  <si>
    <t>epsx's gains</t>
  </si>
  <si>
    <t>epsy's gains</t>
  </si>
  <si>
    <t>epsz's gains</t>
  </si>
  <si>
    <t>Random error associated with each bearing</t>
  </si>
  <si>
    <t>Y direction, dybr_1</t>
  </si>
  <si>
    <t>Z direction, dzbr_1</t>
  </si>
  <si>
    <t>dxr_1</t>
  </si>
  <si>
    <t>dyr_1</t>
  </si>
  <si>
    <t>dzr_1</t>
  </si>
  <si>
    <t>resulting axis random errors at center of stiffness</t>
  </si>
  <si>
    <t>exr_1 (radians)</t>
  </si>
  <si>
    <t>eyr_1 (radians)</t>
  </si>
  <si>
    <t>ezr_1 (radians)</t>
  </si>
  <si>
    <t>Deflections (systematic errors) at center of stiffness</t>
  </si>
  <si>
    <t>systmatic</t>
  </si>
  <si>
    <t>ABS sum</t>
  </si>
  <si>
    <t>RSS</t>
  </si>
  <si>
    <t>AVG ABS&amp;RSS</t>
  </si>
  <si>
    <t>RMS</t>
  </si>
  <si>
    <t>linear</t>
  </si>
  <si>
    <t>Random errors</t>
  </si>
  <si>
    <t>Combinations</t>
  </si>
  <si>
    <t>random</t>
  </si>
  <si>
    <t>due to exr</t>
  </si>
  <si>
    <t>due to eyr</t>
  </si>
  <si>
    <t>due to ezr</t>
  </si>
  <si>
    <t>Avg ABS,RSS,RMS</t>
  </si>
  <si>
    <t>AVG ABS,RSS,RMS</t>
  </si>
  <si>
    <t>Coordinates of load (tool point or next Coordinate system origin) wrt Center of Stiffness</t>
  </si>
  <si>
    <t>Be consistent with units!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</si>
  <si>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Outputs in </t>
    </r>
    <r>
      <rPr>
        <b/>
        <sz val="12"/>
        <color rgb="FFFF0000"/>
        <rFont val="Calibri"/>
        <scheme val="minor"/>
      </rPr>
      <t>RED</t>
    </r>
  </si>
  <si>
    <t>System Errors of load point with respect to Center of Stiffness</t>
  </si>
  <si>
    <t>It is assumed that linear guide bearing blocks are used, and axis Coordinate System located at Center of Stiffness</t>
  </si>
  <si>
    <t>Axis 2</t>
  </si>
  <si>
    <t>Fxa_i</t>
  </si>
  <si>
    <t>Fya_i</t>
  </si>
  <si>
    <t>Fza_i</t>
  </si>
  <si>
    <t>Mxa_i</t>
  </si>
  <si>
    <t>Mya_i</t>
  </si>
  <si>
    <t>Mza_i</t>
  </si>
  <si>
    <t>Fx_i</t>
  </si>
  <si>
    <t>Fy_i</t>
  </si>
  <si>
    <t>Fz_i</t>
  </si>
  <si>
    <t>Moment, Mx_i</t>
  </si>
  <si>
    <t>Moment, My_i</t>
  </si>
  <si>
    <t>Moment, Mz_i</t>
  </si>
  <si>
    <t>Y direction, dybr_i</t>
  </si>
  <si>
    <t>Z direction, dzbr_i</t>
  </si>
  <si>
    <t>dxr_i</t>
  </si>
  <si>
    <t>dyr_i</t>
  </si>
  <si>
    <t>dzr_i</t>
  </si>
  <si>
    <t>exr_i (radians)</t>
  </si>
  <si>
    <t>eyr_i (radians)</t>
  </si>
  <si>
    <t>ezr_i (radians)</t>
  </si>
  <si>
    <t>Y direction, Ky_i</t>
  </si>
  <si>
    <t>Z direction, Kz_i</t>
  </si>
  <si>
    <t>About X axis, Krotx_i</t>
  </si>
  <si>
    <t>About Y axis, Kroty_i</t>
  </si>
  <si>
    <t>About Z axis, Krotz_i</t>
  </si>
  <si>
    <t>deflx_i</t>
  </si>
  <si>
    <t>defly_i</t>
  </si>
  <si>
    <t>deflz_i</t>
  </si>
  <si>
    <t>depsx_i</t>
  </si>
  <si>
    <t>depsy_i</t>
  </si>
  <si>
    <t>depsz_i</t>
  </si>
  <si>
    <t>% =dxbr_1</t>
  </si>
  <si>
    <t>% =dybr_1</t>
  </si>
  <si>
    <t>% =dzbr_1</t>
  </si>
  <si>
    <t>% =Fx_1/Kx_1</t>
  </si>
  <si>
    <t>% =Fy_1/Ky_1</t>
  </si>
  <si>
    <t>% =Fz_1/Kz_1</t>
  </si>
  <si>
    <t>% =Mx_1/Krotx_1</t>
  </si>
  <si>
    <t>% =My_1/Kroty_1</t>
  </si>
  <si>
    <t>% =Mz_1/Krotz_1</t>
  </si>
  <si>
    <t>Axis number</t>
  </si>
  <si>
    <t>Axis name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</si>
  <si>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Outputs in </t>
    </r>
    <r>
      <rPr>
        <b/>
        <sz val="12"/>
        <color rgb="FFFF0000"/>
        <rFont val="Calibri"/>
        <scheme val="minor"/>
      </rPr>
      <t xml:space="preserve">RED, </t>
    </r>
    <r>
      <rPr>
        <sz val="12"/>
        <rFont val="Calibri"/>
        <scheme val="minor"/>
      </rPr>
      <t>Be consistent with units!</t>
    </r>
  </si>
  <si>
    <t>To add axes, copy this sheet to a new worksheet</t>
  </si>
  <si>
    <t>Axis 1</t>
  </si>
  <si>
    <t>all axes</t>
  </si>
  <si>
    <t>Axis 3</t>
  </si>
  <si>
    <t>Axis 4</t>
  </si>
  <si>
    <t>Coordinates of CS_N-1 in CS_N</t>
  </si>
  <si>
    <t>Effective X coordinate of toolpoint in CS_N, Xl_i</t>
  </si>
  <si>
    <t>Effective Y coordinate of toolpoint in CS_N, Yl_i</t>
  </si>
  <si>
    <t>Effective Z coordinate of toolpoint in CS_N, Zl_i</t>
  </si>
  <si>
    <t>X coordinate of toolpoint, Xl_1</t>
  </si>
  <si>
    <t>Y coordinate of toolpoint, Yl_1</t>
  </si>
  <si>
    <t>Z coordinate of toolpoint, Zl_1</t>
  </si>
  <si>
    <t>yes</t>
  </si>
  <si>
    <t>no</t>
  </si>
  <si>
    <t>servo direction?</t>
  </si>
  <si>
    <t>X direction, Kx_1</t>
  </si>
  <si>
    <t>Servo stiffness, kservo_1</t>
  </si>
  <si>
    <t>Servo stiffness, kservo_i</t>
  </si>
  <si>
    <t>X direction, Kx_i</t>
  </si>
  <si>
    <t>To assess forces, deflections, stiffness, error motions of an axis supported at its four corner points by "bearings" (or mounts) of equal stiffness (or equivelant)</t>
  </si>
  <si>
    <t>"bearing"</t>
  </si>
  <si>
    <t>Kx</t>
  </si>
  <si>
    <t>Ky</t>
  </si>
  <si>
    <t>Kz</t>
  </si>
  <si>
    <t>servo axis?</t>
  </si>
  <si>
    <t>KrotX</t>
  </si>
  <si>
    <t>Kroty</t>
  </si>
  <si>
    <t>Krotz</t>
  </si>
  <si>
    <t>Locations</t>
  </si>
  <si>
    <t>Coordinates wrt Center Stiffness</t>
  </si>
  <si>
    <t>Y location</t>
  </si>
  <si>
    <t>X location</t>
  </si>
  <si>
    <t>Z location</t>
  </si>
  <si>
    <t>X direction, dxbr_i</t>
  </si>
  <si>
    <t>X direction, dxbr_1</t>
  </si>
  <si>
    <t>% =IF(ABS(C32)&gt;0,dzbr_1/ABS(C32),0)+IF(ABS(D32)&gt;0,dybr_1/ABS(D32),0)</t>
  </si>
  <si>
    <t>% =IF(ABS(B32)&gt;0,dzbr_1/ABS(B32),0)+IF(ABS(D32)&gt;0,dxbr_1/ABS(D32),0)</t>
  </si>
  <si>
    <t>Angular (based on bearing 1, and assuming symmetrical configuration!)</t>
  </si>
  <si>
    <t>Servo axis</t>
  </si>
  <si>
    <t>X axis</t>
  </si>
  <si>
    <t>Y axis</t>
  </si>
  <si>
    <t>Z axis</t>
  </si>
  <si>
    <t>Servo error (random), dservo_1</t>
  </si>
  <si>
    <t>% =IF(ABS(B37)&gt;0,dybr_1/ABS(B37),0)+IF(ABS(C37)&gt;0,dxbr_1/ABS(C37),0)</t>
  </si>
  <si>
    <t>% =IF(C66="yes",Kservo_1,B45+B46+B47+B48)</t>
  </si>
  <si>
    <t>% =IF(C67="yes",Kservo_1,C45+C46+C47+C48)</t>
  </si>
  <si>
    <t>% =IF(C68="yes",Kservo_1,D45+D46+D47+D48)</t>
  </si>
  <si>
    <t>% =D45*C37^2+D46*C38^2+D47*C39^2+D48*C40^2+C45*D37^2+C46*D38^2+C47*D39^2+C48*D40^2+E45+E46+E47+E48</t>
  </si>
  <si>
    <t>% =D45*B37^2+D46*B38^2+D47*B39^2+D48*B40^2+B45*D37^2+B46*D38^2+B47*D39^2+B48*D40^2+F45+F46+F47+F48</t>
  </si>
  <si>
    <t>% =C45*B37^2+C46*B38^2+C47*B39^2+C48*B40^2+B45*C37^2+B46*C38^2+B47*C39^2+B48*C40^2+G45+G46+G47+G48</t>
  </si>
  <si>
    <t>Coordinates of toolpoint in current CS</t>
  </si>
  <si>
    <t>X coordinate</t>
  </si>
  <si>
    <t>Y coordinate</t>
  </si>
  <si>
    <t>Z coordinate</t>
  </si>
  <si>
    <t>Applied Loads at toolpoint</t>
  </si>
  <si>
    <t>Fxg_1</t>
  </si>
  <si>
    <t>Fyg_1</t>
  </si>
  <si>
    <t>Fzg_1</t>
  </si>
  <si>
    <t>Mxg_1</t>
  </si>
  <si>
    <t>Myg_1</t>
  </si>
  <si>
    <t>Mzg_1</t>
  </si>
  <si>
    <t>% =Fxa_1+Fxg_1</t>
  </si>
  <si>
    <t>% =Fya_1+Fyg_1</t>
  </si>
  <si>
    <t>% =Fza_1+Fzg_1</t>
  </si>
  <si>
    <t>%  =Fya_1*Zl_1-Fza_1*Yl_1+Mxa_1+Mxg_1</t>
  </si>
  <si>
    <t>% =Fza_1*Xl_1-Fxa_1*Zl_1+Mya_1+Myg_1</t>
  </si>
  <si>
    <t>% =Fxa_1*Yl_1-Fya_1*Xl_1+Mza_1+Mzg_1</t>
  </si>
  <si>
    <t>Applied loads at Center of Stffness (e.g., axis weight)</t>
  </si>
  <si>
    <t>Fxg_i</t>
  </si>
  <si>
    <t>Fyg_i</t>
  </si>
  <si>
    <t>Fzg_i</t>
  </si>
  <si>
    <t>Mxg_i</t>
  </si>
  <si>
    <t>Myg_i</t>
  </si>
  <si>
    <t>Mzg_i</t>
  </si>
  <si>
    <t>Applied Loads from CS_N-1 at XYZ coordinates of CS_N-1</t>
  </si>
  <si>
    <t>Error_Budget_Cartesion_Axis_System</t>
  </si>
  <si>
    <t>Reference</t>
  </si>
  <si>
    <t>Y Axis</t>
  </si>
  <si>
    <t>X Axis</t>
  </si>
  <si>
    <t>Z axis (tool)</t>
  </si>
  <si>
    <t>moment on the axis from the Y axis tube</t>
  </si>
  <si>
    <t>includes weight of the Y axis tube, but not weights of Y axis carriage (accounted for earlier)</t>
  </si>
  <si>
    <t>structural stiffness of tube (create worksheet to estimate)</t>
  </si>
  <si>
    <t>Need to create worksheet to include compliance of Y axis tube and carriage structure</t>
  </si>
  <si>
    <t>Need to create worksheet to include compliance of carriage structure</t>
  </si>
  <si>
    <t>Note the use of just two linear guides, so enter "0" for coordinates</t>
  </si>
  <si>
    <t>systematic</t>
  </si>
  <si>
    <t>% =IF(ABS(C37)&gt;0,dzbr_1/ABS(C37),0)+IF(ABS(D37)&gt;0,dybr_1/ABS(D37),0)</t>
  </si>
  <si>
    <t>% =IF(ABS(B37)&gt;0,dzbr_1/ABS(B37),0)+IF(ABS(D37)&gt;0,dxbr_1/ABS(D37),0)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</si>
</sst>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1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scheme val="minor"/>
    </font>
    <font>
      <b/>
      <sz val="12"/>
      <name val="Calibri"/>
      <scheme val="minor"/>
    </font>
    <font>
      <b/>
      <sz val="12"/>
      <color rgb="FF3366FF"/>
      <name val="Calibri"/>
      <scheme val="minor"/>
    </font>
    <font>
      <sz val="12"/>
      <color rgb="FF3366FF"/>
      <name val="Calibri"/>
      <scheme val="minor"/>
    </font>
    <font>
      <b/>
      <i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7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3" fillId="0" borderId="0" xfId="0" applyFont="1"/>
    <xf numFmtId="0" fontId="0" fillId="0" borderId="2" xfId="0" applyBorder="1"/>
    <xf numFmtId="0" fontId="0" fillId="0" borderId="0" xfId="0" applyAlignment="1">
      <alignment horizontal="right"/>
    </xf>
    <xf numFmtId="165" fontId="1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/>
    <xf numFmtId="0" fontId="0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165" fontId="6" fillId="0" borderId="0" xfId="0" applyNumberFormat="1" applyFont="1"/>
    <xf numFmtId="0" fontId="6" fillId="0" borderId="3" xfId="0" applyFont="1" applyBorder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0" xfId="0" applyNumberFormat="1" applyFont="1"/>
    <xf numFmtId="0" fontId="7" fillId="0" borderId="0" xfId="0" applyFont="1" applyAlignment="1">
      <alignment horizontal="center"/>
    </xf>
    <xf numFmtId="0" fontId="6" fillId="2" borderId="0" xfId="0" applyFont="1" applyFill="1"/>
    <xf numFmtId="0" fontId="9" fillId="0" borderId="0" xfId="0" applyFont="1"/>
    <xf numFmtId="0" fontId="8" fillId="0" borderId="0" xfId="0" applyFont="1"/>
    <xf numFmtId="165" fontId="8" fillId="0" borderId="0" xfId="0" applyNumberFormat="1" applyFont="1"/>
    <xf numFmtId="165" fontId="6" fillId="2" borderId="0" xfId="0" applyNumberFormat="1" applyFont="1" applyFill="1"/>
    <xf numFmtId="0" fontId="0" fillId="0" borderId="4" xfId="0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164" fontId="6" fillId="2" borderId="0" xfId="0" applyNumberFormat="1" applyFont="1" applyFill="1"/>
    <xf numFmtId="165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4" xfId="0" applyBorder="1" applyAlignment="1"/>
    <xf numFmtId="0" fontId="0" fillId="0" borderId="8" xfId="0" applyBorder="1" applyAlignment="1"/>
    <xf numFmtId="0" fontId="0" fillId="0" borderId="8" xfId="0" applyBorder="1"/>
    <xf numFmtId="0" fontId="0" fillId="0" borderId="5" xfId="0" applyBorder="1"/>
    <xf numFmtId="0" fontId="0" fillId="0" borderId="0" xfId="0" applyBorder="1" applyAlignment="1">
      <alignment horizontal="left" indent="1"/>
    </xf>
    <xf numFmtId="0" fontId="0" fillId="0" borderId="0" xfId="0" applyBorder="1"/>
    <xf numFmtId="0" fontId="6" fillId="0" borderId="6" xfId="0" applyFont="1" applyBorder="1"/>
    <xf numFmtId="0" fontId="0" fillId="0" borderId="9" xfId="0" applyBorder="1" applyAlignment="1">
      <alignment horizontal="left" indent="1"/>
    </xf>
    <xf numFmtId="0" fontId="0" fillId="0" borderId="9" xfId="0" applyBorder="1"/>
    <xf numFmtId="0" fontId="0" fillId="0" borderId="7" xfId="0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2" borderId="0" xfId="0" applyFill="1"/>
    <xf numFmtId="0" fontId="8" fillId="0" borderId="0" xfId="0" applyFont="1" applyFill="1" applyAlignment="1">
      <alignment horizontal="left"/>
    </xf>
    <xf numFmtId="0" fontId="2" fillId="0" borderId="0" xfId="0" applyFont="1" applyFill="1"/>
    <xf numFmtId="0" fontId="8" fillId="0" borderId="0" xfId="0" applyFont="1" applyFill="1"/>
    <xf numFmtId="0" fontId="0" fillId="0" borderId="0" xfId="0" applyFill="1"/>
    <xf numFmtId="0" fontId="10" fillId="0" borderId="0" xfId="0" applyFont="1" applyFill="1" applyAlignment="1">
      <alignment horizontal="center"/>
    </xf>
    <xf numFmtId="165" fontId="6" fillId="0" borderId="0" xfId="0" applyNumberFormat="1" applyFont="1" applyFill="1"/>
    <xf numFmtId="165" fontId="8" fillId="0" borderId="0" xfId="0" applyNumberFormat="1" applyFont="1" applyFill="1"/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Fill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 vertical="center"/>
    </xf>
  </cellXfs>
  <cellStyles count="1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0</xdr:rowOff>
    </xdr:from>
    <xdr:to>
      <xdr:col>8</xdr:col>
      <xdr:colOff>101600</xdr:colOff>
      <xdr:row>30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0"/>
          <a:ext cx="7251700" cy="576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5"/>
  <sheetViews>
    <sheetView tabSelected="1" workbookViewId="0">
      <selection activeCell="F26" sqref="F26"/>
    </sheetView>
  </sheetViews>
  <sheetFormatPr baseColWidth="10" defaultRowHeight="16"/>
  <cols>
    <col min="1" max="1" width="61.33203125" customWidth="1"/>
    <col min="2" max="2" width="15.1640625" customWidth="1"/>
    <col min="3" max="3" width="16.1640625" customWidth="1"/>
    <col min="8" max="8" width="13" customWidth="1"/>
    <col min="12" max="12" width="15.5" customWidth="1"/>
    <col min="16" max="16" width="14.6640625" customWidth="1"/>
  </cols>
  <sheetData>
    <row r="1" spans="1:3">
      <c r="A1" s="68" t="s">
        <v>213</v>
      </c>
      <c r="B1" s="69"/>
    </row>
    <row r="2" spans="1:3">
      <c r="A2" s="70" t="s">
        <v>0</v>
      </c>
      <c r="B2" s="71"/>
    </row>
    <row r="3" spans="1:3" ht="31" customHeight="1">
      <c r="A3" s="72" t="s">
        <v>157</v>
      </c>
      <c r="B3" s="73"/>
    </row>
    <row r="4" spans="1:3" ht="30" customHeight="1">
      <c r="A4" s="72" t="s">
        <v>93</v>
      </c>
      <c r="B4" s="73"/>
    </row>
    <row r="5" spans="1:3">
      <c r="A5" s="70" t="s">
        <v>90</v>
      </c>
      <c r="B5" s="71"/>
    </row>
    <row r="6" spans="1:3">
      <c r="A6" s="74" t="s">
        <v>91</v>
      </c>
      <c r="B6" s="75"/>
    </row>
    <row r="7" spans="1:3">
      <c r="A7" s="32" t="s">
        <v>135</v>
      </c>
      <c r="B7" s="33">
        <v>1</v>
      </c>
    </row>
    <row r="8" spans="1:3">
      <c r="A8" s="34" t="s">
        <v>136</v>
      </c>
      <c r="B8" s="35" t="s">
        <v>217</v>
      </c>
    </row>
    <row r="9" spans="1:3" ht="34">
      <c r="A9" s="17" t="s">
        <v>89</v>
      </c>
    </row>
    <row r="10" spans="1:3">
      <c r="A10" s="5" t="s">
        <v>147</v>
      </c>
      <c r="B10" s="1">
        <v>0</v>
      </c>
      <c r="C10" s="1"/>
    </row>
    <row r="11" spans="1:3">
      <c r="A11" s="5" t="s">
        <v>148</v>
      </c>
      <c r="B11" s="1">
        <v>0</v>
      </c>
      <c r="C11" s="1"/>
    </row>
    <row r="12" spans="1:3">
      <c r="A12" s="5" t="s">
        <v>149</v>
      </c>
      <c r="B12" s="1">
        <v>-20</v>
      </c>
      <c r="C12" s="1"/>
    </row>
    <row r="13" spans="1:3">
      <c r="A13" s="6" t="s">
        <v>176</v>
      </c>
      <c r="B13" s="18"/>
      <c r="C13" s="1"/>
    </row>
    <row r="14" spans="1:3">
      <c r="A14" s="5" t="s">
        <v>180</v>
      </c>
      <c r="B14" s="19">
        <v>5.0000000000000001E-4</v>
      </c>
      <c r="C14" s="1"/>
    </row>
    <row r="15" spans="1:3">
      <c r="A15" s="5" t="s">
        <v>177</v>
      </c>
      <c r="B15" s="26" t="s">
        <v>151</v>
      </c>
      <c r="C15" s="1"/>
    </row>
    <row r="16" spans="1:3">
      <c r="A16" s="5" t="s">
        <v>178</v>
      </c>
      <c r="B16" s="26" t="s">
        <v>151</v>
      </c>
      <c r="C16" s="1"/>
    </row>
    <row r="17" spans="1:4">
      <c r="A17" s="5" t="s">
        <v>179</v>
      </c>
      <c r="B17" s="26" t="s">
        <v>150</v>
      </c>
      <c r="C17" s="1"/>
    </row>
    <row r="18" spans="1:4">
      <c r="A18" s="6" t="s">
        <v>192</v>
      </c>
      <c r="B18" s="1"/>
      <c r="C18" s="16" t="s">
        <v>205</v>
      </c>
    </row>
    <row r="19" spans="1:4">
      <c r="A19" s="5" t="s">
        <v>48</v>
      </c>
      <c r="B19" s="1"/>
      <c r="C19" s="5" t="s">
        <v>48</v>
      </c>
    </row>
    <row r="20" spans="1:4">
      <c r="A20" s="7" t="s">
        <v>50</v>
      </c>
      <c r="B20" s="1">
        <v>0</v>
      </c>
      <c r="C20" s="7" t="s">
        <v>193</v>
      </c>
      <c r="D20" s="1">
        <v>0</v>
      </c>
    </row>
    <row r="21" spans="1:4">
      <c r="A21" s="7" t="s">
        <v>51</v>
      </c>
      <c r="B21" s="1">
        <v>0</v>
      </c>
      <c r="C21" s="7" t="s">
        <v>194</v>
      </c>
      <c r="D21" s="1">
        <v>0</v>
      </c>
    </row>
    <row r="22" spans="1:4">
      <c r="A22" s="7" t="s">
        <v>52</v>
      </c>
      <c r="B22" s="1">
        <v>-10</v>
      </c>
      <c r="C22" s="7" t="s">
        <v>195</v>
      </c>
      <c r="D22" s="1">
        <v>0</v>
      </c>
    </row>
    <row r="23" spans="1:4">
      <c r="A23" s="5" t="s">
        <v>49</v>
      </c>
      <c r="B23" s="1"/>
      <c r="C23" s="5" t="s">
        <v>49</v>
      </c>
      <c r="D23" s="1"/>
    </row>
    <row r="24" spans="1:4">
      <c r="A24" s="7" t="s">
        <v>53</v>
      </c>
      <c r="B24" s="1">
        <v>0</v>
      </c>
      <c r="C24" s="7" t="s">
        <v>196</v>
      </c>
      <c r="D24" s="1">
        <v>0</v>
      </c>
    </row>
    <row r="25" spans="1:4">
      <c r="A25" s="7" t="s">
        <v>54</v>
      </c>
      <c r="B25" s="1">
        <v>0</v>
      </c>
      <c r="C25" s="7" t="s">
        <v>197</v>
      </c>
      <c r="D25" s="1">
        <v>0</v>
      </c>
    </row>
    <row r="26" spans="1:4">
      <c r="A26" s="7" t="s">
        <v>55</v>
      </c>
      <c r="B26" s="1">
        <v>0</v>
      </c>
      <c r="C26" s="7" t="s">
        <v>198</v>
      </c>
      <c r="D26" s="1">
        <v>0</v>
      </c>
    </row>
    <row r="27" spans="1:4">
      <c r="A27" s="6" t="s">
        <v>26</v>
      </c>
      <c r="B27" s="1"/>
    </row>
    <row r="28" spans="1:4">
      <c r="A28" s="5" t="s">
        <v>27</v>
      </c>
      <c r="B28" s="18">
        <f>Fxa_1+Fxg_1</f>
        <v>0</v>
      </c>
      <c r="C28" s="29" t="s">
        <v>199</v>
      </c>
    </row>
    <row r="29" spans="1:4">
      <c r="A29" s="5" t="s">
        <v>28</v>
      </c>
      <c r="B29" s="18">
        <f>Fya_1+Fyg_1</f>
        <v>0</v>
      </c>
      <c r="C29" s="29" t="s">
        <v>200</v>
      </c>
    </row>
    <row r="30" spans="1:4">
      <c r="A30" s="5" t="s">
        <v>29</v>
      </c>
      <c r="B30" s="18">
        <f>Fza_1+Fzg_1</f>
        <v>-10</v>
      </c>
      <c r="C30" s="29" t="s">
        <v>201</v>
      </c>
    </row>
    <row r="31" spans="1:4">
      <c r="A31" s="5" t="s">
        <v>15</v>
      </c>
      <c r="B31" s="18">
        <f>Fya_1*Zl_1-Fza_1*Yl_1+Mxa_1+Mxg_1</f>
        <v>0</v>
      </c>
      <c r="C31" s="29" t="s">
        <v>202</v>
      </c>
    </row>
    <row r="32" spans="1:4">
      <c r="A32" s="5" t="s">
        <v>16</v>
      </c>
      <c r="B32" s="18">
        <f>Fza_1*Xl_1-Fxa_1*Zl_1+Mya_1+Myg_1</f>
        <v>0</v>
      </c>
      <c r="C32" s="29" t="s">
        <v>203</v>
      </c>
    </row>
    <row r="33" spans="1:9">
      <c r="A33" s="5" t="s">
        <v>17</v>
      </c>
      <c r="B33" s="18">
        <f>Fxa_1*Yl_1-Fya_1*Xl_1+Mza_1+Mzg_1</f>
        <v>0</v>
      </c>
      <c r="C33" s="29" t="s">
        <v>204</v>
      </c>
    </row>
    <row r="34" spans="1:9">
      <c r="A34" t="s">
        <v>1</v>
      </c>
      <c r="B34" s="1"/>
    </row>
    <row r="35" spans="1:9">
      <c r="A35" s="5" t="s">
        <v>166</v>
      </c>
      <c r="B35" t="s">
        <v>167</v>
      </c>
    </row>
    <row r="36" spans="1:9">
      <c r="A36" s="10" t="s">
        <v>158</v>
      </c>
      <c r="B36" s="2" t="s">
        <v>169</v>
      </c>
      <c r="C36" s="2" t="s">
        <v>168</v>
      </c>
      <c r="D36" s="2" t="s">
        <v>170</v>
      </c>
    </row>
    <row r="37" spans="1:9">
      <c r="A37">
        <v>1</v>
      </c>
      <c r="B37" s="1">
        <v>0</v>
      </c>
      <c r="C37" s="1">
        <v>0</v>
      </c>
      <c r="D37" s="1">
        <v>4</v>
      </c>
    </row>
    <row r="38" spans="1:9">
      <c r="A38">
        <v>2</v>
      </c>
      <c r="B38" s="1">
        <v>0</v>
      </c>
      <c r="C38" s="1">
        <v>0</v>
      </c>
      <c r="D38" s="1">
        <v>-4</v>
      </c>
    </row>
    <row r="39" spans="1:9">
      <c r="A39">
        <v>3</v>
      </c>
      <c r="B39" s="1">
        <v>0</v>
      </c>
      <c r="C39" s="1">
        <v>0</v>
      </c>
      <c r="D39" s="1">
        <v>0</v>
      </c>
      <c r="E39" s="57" t="s">
        <v>223</v>
      </c>
      <c r="F39" s="57"/>
      <c r="G39" s="57"/>
      <c r="H39" s="57"/>
      <c r="I39" s="57"/>
    </row>
    <row r="40" spans="1:9">
      <c r="A40">
        <v>4</v>
      </c>
      <c r="B40" s="1">
        <v>0</v>
      </c>
      <c r="C40" s="1">
        <v>0</v>
      </c>
      <c r="D40" s="1">
        <v>0</v>
      </c>
      <c r="E40" s="57" t="s">
        <v>223</v>
      </c>
      <c r="F40" s="57"/>
      <c r="G40" s="57"/>
      <c r="H40" s="57"/>
      <c r="I40" s="57"/>
    </row>
    <row r="41" spans="1:9">
      <c r="A41" s="5" t="s">
        <v>30</v>
      </c>
    </row>
    <row r="42" spans="1:9">
      <c r="A42" s="5"/>
      <c r="B42" t="s">
        <v>162</v>
      </c>
    </row>
    <row r="43" spans="1:9">
      <c r="B43" s="42" t="str">
        <f>B15</f>
        <v>no</v>
      </c>
      <c r="C43" s="42" t="str">
        <f>B16</f>
        <v>no</v>
      </c>
      <c r="D43" s="42" t="str">
        <f>B17</f>
        <v>yes</v>
      </c>
    </row>
    <row r="44" spans="1:9">
      <c r="A44" s="10" t="s">
        <v>158</v>
      </c>
      <c r="B44" s="2" t="s">
        <v>159</v>
      </c>
      <c r="C44" s="2" t="s">
        <v>160</v>
      </c>
      <c r="D44" s="2" t="s">
        <v>161</v>
      </c>
      <c r="E44" s="2" t="s">
        <v>163</v>
      </c>
      <c r="F44" s="2" t="s">
        <v>164</v>
      </c>
      <c r="G44" s="2" t="s">
        <v>165</v>
      </c>
    </row>
    <row r="45" spans="1:9">
      <c r="A45">
        <v>1</v>
      </c>
      <c r="B45" s="1">
        <v>100000</v>
      </c>
      <c r="C45" s="1">
        <v>100000</v>
      </c>
      <c r="D45" s="1">
        <v>0</v>
      </c>
      <c r="E45" s="1">
        <v>100000</v>
      </c>
      <c r="F45" s="1">
        <f>E45</f>
        <v>100000</v>
      </c>
      <c r="G45" s="1">
        <f>F45</f>
        <v>100000</v>
      </c>
    </row>
    <row r="46" spans="1:9">
      <c r="A46">
        <v>2</v>
      </c>
      <c r="B46" s="1">
        <v>100000</v>
      </c>
      <c r="C46" s="1">
        <v>100000</v>
      </c>
      <c r="D46" s="1">
        <v>0</v>
      </c>
      <c r="E46" s="1">
        <v>100000</v>
      </c>
      <c r="F46" s="1">
        <f>E46</f>
        <v>100000</v>
      </c>
      <c r="G46" s="1">
        <f>F46</f>
        <v>100000</v>
      </c>
    </row>
    <row r="47" spans="1:9">
      <c r="A47">
        <v>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</row>
    <row r="48" spans="1:9">
      <c r="A48">
        <v>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</row>
    <row r="49" spans="1:4">
      <c r="A49" s="7"/>
      <c r="B49" s="1"/>
    </row>
    <row r="50" spans="1:4">
      <c r="A50" s="5" t="s">
        <v>64</v>
      </c>
      <c r="B50" s="1"/>
      <c r="C50" s="41" t="s">
        <v>152</v>
      </c>
    </row>
    <row r="51" spans="1:4">
      <c r="A51" s="7" t="s">
        <v>172</v>
      </c>
      <c r="B51" s="1">
        <v>5.0000000000000001E-4</v>
      </c>
      <c r="C51" s="22" t="str">
        <f>B15</f>
        <v>no</v>
      </c>
    </row>
    <row r="52" spans="1:4">
      <c r="A52" s="7" t="s">
        <v>65</v>
      </c>
      <c r="B52" s="1">
        <v>5.0000000000000001E-4</v>
      </c>
      <c r="C52" s="22" t="str">
        <f>B16</f>
        <v>no</v>
      </c>
    </row>
    <row r="53" spans="1:4">
      <c r="A53" s="7" t="s">
        <v>66</v>
      </c>
      <c r="B53" s="1">
        <v>0</v>
      </c>
      <c r="C53" s="22" t="str">
        <f>B17</f>
        <v>yes</v>
      </c>
    </row>
    <row r="54" spans="1:4">
      <c r="A54" s="7" t="s">
        <v>70</v>
      </c>
      <c r="B54" s="1"/>
    </row>
    <row r="55" spans="1:4">
      <c r="A55" s="13" t="s">
        <v>37</v>
      </c>
      <c r="B55" s="1"/>
    </row>
    <row r="56" spans="1:4">
      <c r="A56" s="14" t="s">
        <v>67</v>
      </c>
      <c r="B56" s="43">
        <f>dxbr_1</f>
        <v>5.0000000000000001E-4</v>
      </c>
      <c r="C56" s="58" t="s">
        <v>126</v>
      </c>
      <c r="D56" s="28"/>
    </row>
    <row r="57" spans="1:4">
      <c r="A57" s="14" t="s">
        <v>68</v>
      </c>
      <c r="B57" s="43">
        <f>dybr_1</f>
        <v>5.0000000000000001E-4</v>
      </c>
      <c r="C57" s="58" t="s">
        <v>127</v>
      </c>
      <c r="D57" s="28"/>
    </row>
    <row r="58" spans="1:4">
      <c r="A58" s="14" t="s">
        <v>69</v>
      </c>
      <c r="B58" s="43">
        <f>dzbr_1</f>
        <v>0</v>
      </c>
      <c r="C58" s="58" t="s">
        <v>128</v>
      </c>
      <c r="D58" s="28"/>
    </row>
    <row r="59" spans="1:4">
      <c r="A59" s="13" t="s">
        <v>175</v>
      </c>
      <c r="B59" s="43"/>
      <c r="C59" s="58"/>
      <c r="D59" s="28"/>
    </row>
    <row r="60" spans="1:4">
      <c r="A60" s="14" t="s">
        <v>71</v>
      </c>
      <c r="B60" s="43">
        <f>IF(ABS(C37)&gt;0,dzbr_1/ABS(C37),0)+IF(ABS(D37)&gt;0,dybr_1/ABS(D37),0)</f>
        <v>1.25E-4</v>
      </c>
      <c r="C60" s="58" t="s">
        <v>225</v>
      </c>
      <c r="D60" s="28"/>
    </row>
    <row r="61" spans="1:4">
      <c r="A61" s="14" t="s">
        <v>72</v>
      </c>
      <c r="B61" s="43">
        <f>IF(ABS(B37)&gt;0,dzbr_1/ABS(B37),0)+IF(ABS(D37)&gt;0,dxbr_1/ABS(D37),0)</f>
        <v>1.25E-4</v>
      </c>
      <c r="C61" s="58" t="s">
        <v>226</v>
      </c>
      <c r="D61" s="28"/>
    </row>
    <row r="62" spans="1:4">
      <c r="A62" s="14" t="s">
        <v>73</v>
      </c>
      <c r="B62" s="43">
        <f>IF(ABS(B37)&gt;0,dybr_1/ABS(B37),0)+IF(ABS(C37)&gt;0,dxbr_1/ABS(C37),0)</f>
        <v>0</v>
      </c>
      <c r="C62" s="58" t="s">
        <v>181</v>
      </c>
      <c r="D62" s="28"/>
    </row>
    <row r="63" spans="1:4">
      <c r="A63" s="6" t="s">
        <v>18</v>
      </c>
      <c r="B63" s="1"/>
    </row>
    <row r="64" spans="1:4">
      <c r="A64" s="5" t="s">
        <v>22</v>
      </c>
      <c r="B64" s="1"/>
      <c r="C64" s="41" t="s">
        <v>152</v>
      </c>
    </row>
    <row r="65" spans="1:4">
      <c r="A65" s="7" t="s">
        <v>154</v>
      </c>
      <c r="B65" s="59">
        <v>100000</v>
      </c>
      <c r="C65" s="41"/>
    </row>
    <row r="66" spans="1:4">
      <c r="A66" s="7" t="s">
        <v>153</v>
      </c>
      <c r="B66" s="43">
        <f>IF(C66="yes",Kservo_1,B45+B46+B47+B48)</f>
        <v>200000</v>
      </c>
      <c r="C66" s="22" t="str">
        <f>C51</f>
        <v>no</v>
      </c>
      <c r="D66" s="29" t="s">
        <v>182</v>
      </c>
    </row>
    <row r="67" spans="1:4">
      <c r="A67" s="7" t="s">
        <v>19</v>
      </c>
      <c r="B67" s="43">
        <f>IF(C67="yes",Kservo_1,C45+C46+C47+C48)</f>
        <v>200000</v>
      </c>
      <c r="C67" s="22" t="str">
        <f t="shared" ref="C67:C68" si="0">C52</f>
        <v>no</v>
      </c>
      <c r="D67" s="29" t="s">
        <v>183</v>
      </c>
    </row>
    <row r="68" spans="1:4">
      <c r="A68" s="7" t="s">
        <v>20</v>
      </c>
      <c r="B68" s="43">
        <f>IF(C68="yes",Kservo_1,D45+D46+D47+D48)</f>
        <v>100000</v>
      </c>
      <c r="C68" s="22" t="str">
        <f t="shared" si="0"/>
        <v>yes</v>
      </c>
      <c r="D68" s="29" t="s">
        <v>184</v>
      </c>
    </row>
    <row r="69" spans="1:4">
      <c r="A69" s="5" t="s">
        <v>21</v>
      </c>
      <c r="B69" s="18"/>
      <c r="D69" s="29"/>
    </row>
    <row r="70" spans="1:4">
      <c r="A70" s="7" t="s">
        <v>23</v>
      </c>
      <c r="B70" s="18">
        <f>D45*C37^2+D46*C38^2+D47*C39^2+D48*C40^2+C45*D37^2+C46*D38^2+C47*D39^2+C48*D40^2+E45+E46+E47+E48</f>
        <v>3400000</v>
      </c>
      <c r="D70" s="29" t="s">
        <v>185</v>
      </c>
    </row>
    <row r="71" spans="1:4">
      <c r="A71" s="7" t="s">
        <v>24</v>
      </c>
      <c r="B71" s="18">
        <f>D45*B37^2+D46*B38^2+D47*B39^2+D48*B40^2+B45*D37^2+B46*D38^2+B47*D39^2+B48*D40^2+F45+F46+F47+F48</f>
        <v>3400000</v>
      </c>
      <c r="D71" s="29" t="s">
        <v>186</v>
      </c>
    </row>
    <row r="72" spans="1:4">
      <c r="A72" s="7" t="s">
        <v>25</v>
      </c>
      <c r="B72" s="18">
        <f>C45*B37^2+C46*B38^2+C47*B39^2+C48*B40^2+B45*C37^2+B46*C38^2+B47*C39^2+B48*C40^2+G45+G46+G47+G48</f>
        <v>200000</v>
      </c>
      <c r="D72" s="29" t="s">
        <v>187</v>
      </c>
    </row>
    <row r="73" spans="1:4">
      <c r="A73" s="6" t="s">
        <v>74</v>
      </c>
      <c r="B73" s="1"/>
      <c r="C73" s="29"/>
    </row>
    <row r="74" spans="1:4">
      <c r="A74" s="5" t="s">
        <v>37</v>
      </c>
      <c r="B74" s="1"/>
      <c r="C74" s="29"/>
    </row>
    <row r="75" spans="1:4">
      <c r="A75" s="7" t="s">
        <v>31</v>
      </c>
      <c r="B75" s="20">
        <f>Fx_1/Kx_1</f>
        <v>0</v>
      </c>
      <c r="C75" s="30" t="s">
        <v>129</v>
      </c>
    </row>
    <row r="76" spans="1:4">
      <c r="A76" s="7" t="s">
        <v>32</v>
      </c>
      <c r="B76" s="20">
        <f>Fy_1/Ky_1</f>
        <v>0</v>
      </c>
      <c r="C76" s="30" t="s">
        <v>130</v>
      </c>
    </row>
    <row r="77" spans="1:4">
      <c r="A77" s="7" t="s">
        <v>33</v>
      </c>
      <c r="B77" s="20">
        <f>Fz_1/Kz_1</f>
        <v>-1E-4</v>
      </c>
      <c r="C77" s="30" t="s">
        <v>131</v>
      </c>
    </row>
    <row r="78" spans="1:4">
      <c r="A78" s="5" t="s">
        <v>38</v>
      </c>
      <c r="B78" s="20"/>
      <c r="C78" s="30"/>
    </row>
    <row r="79" spans="1:4">
      <c r="A79" s="7" t="s">
        <v>34</v>
      </c>
      <c r="B79" s="20">
        <f>Mx_1/Krotx_1</f>
        <v>0</v>
      </c>
      <c r="C79" s="30" t="s">
        <v>132</v>
      </c>
    </row>
    <row r="80" spans="1:4">
      <c r="A80" s="7" t="s">
        <v>35</v>
      </c>
      <c r="B80" s="20">
        <f>My_1/Kroty_1</f>
        <v>0</v>
      </c>
      <c r="C80" s="30" t="s">
        <v>133</v>
      </c>
    </row>
    <row r="81" spans="1:14">
      <c r="A81" s="7" t="s">
        <v>36</v>
      </c>
      <c r="B81" s="20">
        <f>Mz_1/Krotz_1</f>
        <v>0</v>
      </c>
      <c r="C81" s="30" t="s">
        <v>134</v>
      </c>
    </row>
    <row r="82" spans="1:14">
      <c r="A82" s="6"/>
    </row>
    <row r="83" spans="1:14">
      <c r="A83" s="5"/>
      <c r="B83" s="3"/>
    </row>
    <row r="84" spans="1:14">
      <c r="A84" s="5" t="s">
        <v>56</v>
      </c>
      <c r="B84" s="3"/>
    </row>
    <row r="85" spans="1:14">
      <c r="A85" s="5"/>
      <c r="B85" s="3"/>
    </row>
    <row r="86" spans="1:14">
      <c r="A86" s="5" t="s">
        <v>58</v>
      </c>
      <c r="B86" s="4"/>
    </row>
    <row r="87" spans="1:14">
      <c r="A87" s="5"/>
      <c r="B87" s="12" t="s">
        <v>61</v>
      </c>
      <c r="C87" s="2" t="s">
        <v>62</v>
      </c>
      <c r="D87" s="2" t="s">
        <v>63</v>
      </c>
    </row>
    <row r="88" spans="1:14">
      <c r="A88" s="10" t="s">
        <v>57</v>
      </c>
      <c r="B88" s="25">
        <f>J110</f>
        <v>0</v>
      </c>
      <c r="C88" s="25">
        <f>J116</f>
        <v>19.999996666666831</v>
      </c>
      <c r="D88" s="25">
        <f>J122</f>
        <v>0</v>
      </c>
    </row>
    <row r="89" spans="1:14">
      <c r="A89" s="10" t="s">
        <v>59</v>
      </c>
      <c r="B89" s="25">
        <f t="shared" ref="B89:B90" si="1">J111</f>
        <v>-19.999996666666831</v>
      </c>
      <c r="C89" s="25">
        <f t="shared" ref="C89:C90" si="2">J117</f>
        <v>0</v>
      </c>
      <c r="D89" s="25">
        <f t="shared" ref="D89:D90" si="3">J123</f>
        <v>0</v>
      </c>
    </row>
    <row r="90" spans="1:14">
      <c r="A90" s="10" t="s">
        <v>60</v>
      </c>
      <c r="B90" s="25">
        <f t="shared" si="1"/>
        <v>-9.9999991647337083E-3</v>
      </c>
      <c r="C90" s="25">
        <f t="shared" si="2"/>
        <v>-9.9999991647337083E-3</v>
      </c>
      <c r="D90" s="25">
        <f t="shared" si="3"/>
        <v>0</v>
      </c>
    </row>
    <row r="91" spans="1:14">
      <c r="A91" s="67" t="s">
        <v>92</v>
      </c>
      <c r="B91" s="67"/>
      <c r="C91" s="67"/>
      <c r="D91" s="67"/>
    </row>
    <row r="92" spans="1:14">
      <c r="B92" s="76" t="s">
        <v>75</v>
      </c>
      <c r="C92" s="2" t="s">
        <v>83</v>
      </c>
      <c r="D92" s="15"/>
      <c r="F92" s="67" t="s">
        <v>81</v>
      </c>
      <c r="G92" s="67"/>
      <c r="H92" s="67"/>
      <c r="I92" s="67"/>
      <c r="J92" s="67" t="s">
        <v>82</v>
      </c>
      <c r="K92" s="67"/>
      <c r="L92" s="67"/>
      <c r="M92" s="67"/>
      <c r="N92" s="67"/>
    </row>
    <row r="93" spans="1:14">
      <c r="A93" s="10"/>
      <c r="B93" s="76"/>
      <c r="C93" s="2" t="s">
        <v>88</v>
      </c>
      <c r="F93" t="s">
        <v>80</v>
      </c>
      <c r="G93" t="s">
        <v>84</v>
      </c>
      <c r="H93" t="s">
        <v>85</v>
      </c>
      <c r="I93" t="s">
        <v>86</v>
      </c>
      <c r="J93" t="s">
        <v>76</v>
      </c>
      <c r="K93" t="s">
        <v>77</v>
      </c>
      <c r="L93" t="s">
        <v>78</v>
      </c>
      <c r="M93" t="s">
        <v>79</v>
      </c>
      <c r="N93" t="s">
        <v>87</v>
      </c>
    </row>
    <row r="94" spans="1:14">
      <c r="A94" s="10" t="s">
        <v>57</v>
      </c>
      <c r="B94" s="65">
        <f>deflx_1+depsx_1*dx_epsx_1+depsy_1*dx_epsy_1+depsz_1*dx_epsz_1</f>
        <v>0</v>
      </c>
      <c r="C94" s="65">
        <f>N94</f>
        <v>2.0247545699439047E-3</v>
      </c>
      <c r="D94" s="11"/>
      <c r="F94" s="20">
        <f>dxr_1+IF(B15="yes",dservo_1,0)</f>
        <v>5.0000000000000001E-4</v>
      </c>
      <c r="G94" s="20">
        <f>exr_1*dx_epsx_1</f>
        <v>0</v>
      </c>
      <c r="H94" s="20">
        <f>eyr_1*dx_epsy_1</f>
        <v>2.499999583333354E-3</v>
      </c>
      <c r="I94" s="20">
        <f>ezr_1*dx_epsz_1</f>
        <v>0</v>
      </c>
      <c r="J94" s="20">
        <f>ABS(F94)+ABS(G94)+ABS(H94)+ABS(I94)</f>
        <v>2.999999583333354E-3</v>
      </c>
      <c r="K94" s="20">
        <f>SQRT(F94^2+G94^2+H94^2+I94^2)</f>
        <v>2.5495093482211326E-3</v>
      </c>
      <c r="L94" s="20">
        <f>AVERAGE(J94,K94)</f>
        <v>2.7747544657772431E-3</v>
      </c>
      <c r="M94" s="20">
        <f>SQRT((F94^2+G94^2+H94^2+I94^2)/4)</f>
        <v>1.2747546741105663E-3</v>
      </c>
      <c r="N94" s="20">
        <f>AVERAGE(L94,M94)</f>
        <v>2.0247545699439047E-3</v>
      </c>
    </row>
    <row r="95" spans="1:14">
      <c r="A95" s="10" t="s">
        <v>59</v>
      </c>
      <c r="B95" s="65">
        <f>defly_1+dy_epsx_1*depsx_1+dy_epsy_1*depsy_1+dy_epsz_1*depsz_1</f>
        <v>0</v>
      </c>
      <c r="C95" s="65">
        <f>N95</f>
        <v>2.0247545699439047E-3</v>
      </c>
      <c r="D95" s="11"/>
      <c r="F95" s="20">
        <f>dyr_1+IF(B16="yes",dservo_1,0)</f>
        <v>5.0000000000000001E-4</v>
      </c>
      <c r="G95" s="20">
        <f>exr_1*dy_epsx_1</f>
        <v>-2.499999583333354E-3</v>
      </c>
      <c r="H95" s="20">
        <f>eyr_1*dy_epsy_1</f>
        <v>0</v>
      </c>
      <c r="I95" s="20">
        <f>ezr_1*dy_epsz_1</f>
        <v>0</v>
      </c>
      <c r="J95" s="20">
        <f>ABS(F95)+ABS(G95)+ABS(H95)+ABS(I95)</f>
        <v>2.999999583333354E-3</v>
      </c>
      <c r="K95" s="20">
        <f>SQRT(F95^2+G95^2+H95^2+I95^2)</f>
        <v>2.5495093482211326E-3</v>
      </c>
      <c r="L95" s="20">
        <f t="shared" ref="L95:L96" si="4">AVERAGE(J95,K95)</f>
        <v>2.7747544657772431E-3</v>
      </c>
      <c r="M95" s="20">
        <f>SQRT((F95^2+G95^2+H95^2+I95^2)/4)</f>
        <v>1.2747546741105663E-3</v>
      </c>
      <c r="N95" s="20">
        <f t="shared" ref="N95:N96" si="5">AVERAGE(L95,M95)</f>
        <v>2.0247545699439047E-3</v>
      </c>
    </row>
    <row r="96" spans="1:14">
      <c r="A96" s="10" t="s">
        <v>60</v>
      </c>
      <c r="B96" s="65">
        <f>deflz_1+dz_epsx_1*depsx_1+dz_epsy_1*depsy_1+dz_epsz_1*depsz_1</f>
        <v>-1E-4</v>
      </c>
      <c r="C96" s="65">
        <f>N96</f>
        <v>3.7562656244265202E-4</v>
      </c>
      <c r="D96" s="11"/>
      <c r="F96" s="20">
        <f>dzr_1+IF(B17="yes",dservo_1,0)</f>
        <v>5.0000000000000001E-4</v>
      </c>
      <c r="G96" s="20">
        <f>exr_1*dz_epsx_1</f>
        <v>-1.2499998955917135E-6</v>
      </c>
      <c r="H96" s="20">
        <f>eyr_1*dz_epsy_1</f>
        <v>-1.2499998955917135E-6</v>
      </c>
      <c r="I96" s="20">
        <f>ezr_1*dz_epsz_1</f>
        <v>0</v>
      </c>
      <c r="J96" s="20">
        <f>ABS(F96)+ABS(G96)+ABS(H96)+ABS(I96)</f>
        <v>5.0249999979118344E-4</v>
      </c>
      <c r="K96" s="20">
        <f>SQRT(F96^2+G96^2+H96^2+I96^2)</f>
        <v>5.0000312498971232E-4</v>
      </c>
      <c r="L96" s="20">
        <f t="shared" si="4"/>
        <v>5.0125156239044788E-4</v>
      </c>
      <c r="M96" s="20">
        <f>SQRT((F96^2+G96^2+H96^2+I96^2)/4)</f>
        <v>2.5000156249485616E-4</v>
      </c>
      <c r="N96" s="20">
        <f t="shared" si="5"/>
        <v>3.7562656244265202E-4</v>
      </c>
    </row>
    <row r="99" spans="1:10">
      <c r="A99" t="s">
        <v>39</v>
      </c>
    </row>
    <row r="100" spans="1:10">
      <c r="A100" t="s">
        <v>40</v>
      </c>
    </row>
    <row r="101" spans="1:10">
      <c r="A101" t="s">
        <v>42</v>
      </c>
      <c r="B101" s="1">
        <v>1E-3</v>
      </c>
    </row>
    <row r="102" spans="1:10">
      <c r="A102" t="s">
        <v>43</v>
      </c>
      <c r="B102" s="1">
        <v>1E-3</v>
      </c>
    </row>
    <row r="103" spans="1:10">
      <c r="A103" t="s">
        <v>44</v>
      </c>
      <c r="B103" s="1">
        <v>1E-3</v>
      </c>
    </row>
    <row r="104" spans="1:10">
      <c r="A104" t="s">
        <v>5</v>
      </c>
    </row>
    <row r="105" spans="1:10">
      <c r="A105" t="s">
        <v>6</v>
      </c>
      <c r="B105" s="21">
        <f>Xl_1</f>
        <v>0</v>
      </c>
      <c r="C105" s="18"/>
      <c r="D105" s="18"/>
      <c r="E105" s="18"/>
      <c r="F105" s="18"/>
      <c r="G105" s="18"/>
      <c r="H105" s="18"/>
      <c r="I105" s="18"/>
      <c r="J105" s="18"/>
    </row>
    <row r="106" spans="1:10">
      <c r="A106" t="s">
        <v>7</v>
      </c>
      <c r="B106" s="21">
        <f>Yl_1</f>
        <v>0</v>
      </c>
      <c r="C106" s="18"/>
      <c r="D106" s="18"/>
      <c r="E106" s="18"/>
      <c r="F106" s="18"/>
      <c r="G106" s="18"/>
      <c r="H106" s="18"/>
      <c r="I106" s="18"/>
      <c r="J106" s="18"/>
    </row>
    <row r="107" spans="1:10">
      <c r="A107" t="s">
        <v>8</v>
      </c>
      <c r="B107" s="21">
        <f>Zl_1</f>
        <v>-20</v>
      </c>
      <c r="C107" s="18"/>
      <c r="D107" s="18"/>
      <c r="E107" s="18"/>
      <c r="F107" s="18"/>
      <c r="G107" s="18"/>
      <c r="H107" s="18"/>
      <c r="I107" s="18"/>
      <c r="J107" s="18"/>
    </row>
    <row r="108" spans="1:10">
      <c r="B108" s="21">
        <v>1</v>
      </c>
      <c r="C108" s="18"/>
      <c r="D108" s="18"/>
      <c r="E108" s="18"/>
      <c r="F108" s="18"/>
      <c r="G108" s="8" t="s">
        <v>45</v>
      </c>
      <c r="H108" s="18"/>
      <c r="I108" s="18"/>
      <c r="J108" s="18"/>
    </row>
    <row r="109" spans="1:10">
      <c r="B109" s="67" t="s">
        <v>3</v>
      </c>
      <c r="C109" s="67"/>
      <c r="D109" s="67"/>
      <c r="E109" s="67"/>
      <c r="F109" s="18"/>
      <c r="G109" s="18"/>
      <c r="H109" s="12" t="s">
        <v>12</v>
      </c>
      <c r="I109" s="12" t="s">
        <v>13</v>
      </c>
      <c r="J109" s="12" t="s">
        <v>14</v>
      </c>
    </row>
    <row r="110" spans="1:10">
      <c r="B110" s="23">
        <v>1</v>
      </c>
      <c r="C110" s="18">
        <v>0</v>
      </c>
      <c r="D110" s="18">
        <v>0</v>
      </c>
      <c r="E110" s="24">
        <v>0</v>
      </c>
      <c r="F110" s="18"/>
      <c r="G110" s="18" t="s">
        <v>9</v>
      </c>
      <c r="H110" s="21">
        <f t="array" ref="H110:H113">MMULT(B110:E113,B105:B108)</f>
        <v>0</v>
      </c>
      <c r="I110" s="20">
        <f>Xl_1-H110</f>
        <v>0</v>
      </c>
      <c r="J110" s="25">
        <f>I110/epsxg</f>
        <v>0</v>
      </c>
    </row>
    <row r="111" spans="1:10">
      <c r="B111" s="23">
        <v>0</v>
      </c>
      <c r="C111" s="18">
        <f>COS(epsxg)</f>
        <v>0.99999950000004167</v>
      </c>
      <c r="D111" s="18">
        <f>-SIN(epsxg)</f>
        <v>-9.9999983333334168E-4</v>
      </c>
      <c r="E111" s="24">
        <v>0</v>
      </c>
      <c r="F111" s="18"/>
      <c r="G111" s="18" t="s">
        <v>10</v>
      </c>
      <c r="H111" s="21">
        <v>1.9999996666666832E-2</v>
      </c>
      <c r="I111" s="20">
        <f>Yl_1-H111</f>
        <v>-1.9999996666666832E-2</v>
      </c>
      <c r="J111" s="25">
        <f>I111/epsxg</f>
        <v>-19.999996666666831</v>
      </c>
    </row>
    <row r="112" spans="1:10">
      <c r="B112" s="23">
        <v>0</v>
      </c>
      <c r="C112" s="18">
        <f>SIN(epsxg)</f>
        <v>9.9999983333334168E-4</v>
      </c>
      <c r="D112" s="18">
        <f>C111</f>
        <v>0.99999950000004167</v>
      </c>
      <c r="E112" s="24">
        <v>0</v>
      </c>
      <c r="F112" s="18"/>
      <c r="G112" s="18" t="s">
        <v>11</v>
      </c>
      <c r="H112" s="21">
        <v>-19.999990000000835</v>
      </c>
      <c r="I112" s="20">
        <f>Zl_1-H112</f>
        <v>-9.9999991647337083E-6</v>
      </c>
      <c r="J112" s="25">
        <f>I112/epsxg</f>
        <v>-9.9999991647337083E-3</v>
      </c>
    </row>
    <row r="113" spans="2:10">
      <c r="B113" s="23">
        <v>0</v>
      </c>
      <c r="C113" s="18">
        <v>0</v>
      </c>
      <c r="D113" s="18">
        <v>0</v>
      </c>
      <c r="E113" s="24">
        <v>1</v>
      </c>
      <c r="F113" s="18"/>
      <c r="G113" s="18"/>
      <c r="H113" s="21">
        <v>1</v>
      </c>
      <c r="I113" s="20"/>
      <c r="J113" s="18"/>
    </row>
    <row r="114" spans="2:10">
      <c r="B114" s="18"/>
      <c r="C114" s="18"/>
      <c r="D114" s="18"/>
      <c r="E114" s="18"/>
      <c r="F114" s="18"/>
      <c r="G114" s="8" t="s">
        <v>46</v>
      </c>
      <c r="H114" s="8"/>
      <c r="I114" s="8"/>
      <c r="J114" s="8"/>
    </row>
    <row r="115" spans="2:10">
      <c r="B115" s="67" t="s">
        <v>2</v>
      </c>
      <c r="C115" s="67"/>
      <c r="D115" s="67"/>
      <c r="E115" s="67"/>
      <c r="F115" s="18"/>
      <c r="G115" s="8"/>
      <c r="H115" s="12" t="s">
        <v>12</v>
      </c>
      <c r="I115" s="12" t="s">
        <v>13</v>
      </c>
      <c r="J115" s="12" t="s">
        <v>14</v>
      </c>
    </row>
    <row r="116" spans="2:10">
      <c r="B116" s="23">
        <f>COS(epsyg)</f>
        <v>0.99999950000004167</v>
      </c>
      <c r="C116" s="18">
        <v>0</v>
      </c>
      <c r="D116" s="18">
        <f>SIN(epsyg)</f>
        <v>9.9999983333334168E-4</v>
      </c>
      <c r="E116" s="24">
        <v>0</v>
      </c>
      <c r="F116" s="18"/>
      <c r="G116" s="18" t="s">
        <v>9</v>
      </c>
      <c r="H116" s="21">
        <f t="array" ref="H116:H119">MMULT(B116:E119,B105:B108)</f>
        <v>-1.9999996666666832E-2</v>
      </c>
      <c r="I116" s="20">
        <f>Xl_1-H116</f>
        <v>1.9999996666666832E-2</v>
      </c>
      <c r="J116" s="25">
        <f>I116/epsyg</f>
        <v>19.999996666666831</v>
      </c>
    </row>
    <row r="117" spans="2:10">
      <c r="B117" s="23">
        <v>0</v>
      </c>
      <c r="C117" s="18">
        <v>1</v>
      </c>
      <c r="D117" s="18">
        <v>0</v>
      </c>
      <c r="E117" s="24">
        <v>0</v>
      </c>
      <c r="F117" s="18"/>
      <c r="G117" s="18" t="s">
        <v>10</v>
      </c>
      <c r="H117" s="21">
        <v>0</v>
      </c>
      <c r="I117" s="20">
        <f>Yl_1-H117</f>
        <v>0</v>
      </c>
      <c r="J117" s="25">
        <f>I117/epsyg</f>
        <v>0</v>
      </c>
    </row>
    <row r="118" spans="2:10">
      <c r="B118" s="23">
        <f>-SIN(epsyg)</f>
        <v>-9.9999983333334168E-4</v>
      </c>
      <c r="C118" s="18">
        <v>0</v>
      </c>
      <c r="D118" s="18">
        <f>B116</f>
        <v>0.99999950000004167</v>
      </c>
      <c r="E118" s="24">
        <v>0</v>
      </c>
      <c r="F118" s="18"/>
      <c r="G118" s="18" t="s">
        <v>11</v>
      </c>
      <c r="H118" s="21">
        <v>-19.999990000000835</v>
      </c>
      <c r="I118" s="20">
        <f>Zl_1-H118</f>
        <v>-9.9999991647337083E-6</v>
      </c>
      <c r="J118" s="25">
        <f>I118/epsyg</f>
        <v>-9.9999991647337083E-3</v>
      </c>
    </row>
    <row r="119" spans="2:10">
      <c r="B119" s="23">
        <v>0</v>
      </c>
      <c r="C119" s="18">
        <v>0</v>
      </c>
      <c r="D119" s="18">
        <v>0</v>
      </c>
      <c r="E119" s="24">
        <v>1</v>
      </c>
      <c r="F119" s="18"/>
      <c r="G119" s="18"/>
      <c r="H119" s="21">
        <v>1</v>
      </c>
      <c r="I119" s="18"/>
      <c r="J119" s="18"/>
    </row>
    <row r="120" spans="2:10">
      <c r="B120" s="18"/>
      <c r="C120" s="18"/>
      <c r="D120" s="18"/>
      <c r="E120" s="18"/>
      <c r="F120" s="18"/>
      <c r="G120" s="8" t="s">
        <v>47</v>
      </c>
      <c r="H120" s="8"/>
      <c r="I120" s="8"/>
      <c r="J120" s="8"/>
    </row>
    <row r="121" spans="2:10">
      <c r="B121" s="67" t="s">
        <v>4</v>
      </c>
      <c r="C121" s="67"/>
      <c r="D121" s="67"/>
      <c r="E121" s="67"/>
      <c r="F121" s="18"/>
      <c r="G121" s="8"/>
      <c r="H121" s="12" t="s">
        <v>12</v>
      </c>
      <c r="I121" s="12" t="s">
        <v>13</v>
      </c>
      <c r="J121" s="12" t="s">
        <v>14</v>
      </c>
    </row>
    <row r="122" spans="2:10">
      <c r="B122" s="23">
        <f>COS(epszg)</f>
        <v>0.99999950000004167</v>
      </c>
      <c r="C122" s="18">
        <f>-SIN(epszg)</f>
        <v>-9.9999983333334168E-4</v>
      </c>
      <c r="D122" s="18">
        <v>0</v>
      </c>
      <c r="E122" s="24">
        <v>0</v>
      </c>
      <c r="F122" s="18"/>
      <c r="G122" s="18" t="s">
        <v>9</v>
      </c>
      <c r="H122" s="21">
        <f t="array" ref="H122:H125">MMULT(B122:E125,B105:B108)</f>
        <v>0</v>
      </c>
      <c r="I122" s="20">
        <f>Xl_1-H122</f>
        <v>0</v>
      </c>
      <c r="J122" s="25">
        <f>I122/epszg</f>
        <v>0</v>
      </c>
    </row>
    <row r="123" spans="2:10">
      <c r="B123" s="23">
        <f>SIN(epszg)</f>
        <v>9.9999983333334168E-4</v>
      </c>
      <c r="C123" s="18">
        <f>B122</f>
        <v>0.99999950000004167</v>
      </c>
      <c r="D123" s="18">
        <v>0</v>
      </c>
      <c r="E123" s="24">
        <v>0</v>
      </c>
      <c r="F123" s="18"/>
      <c r="G123" s="18" t="s">
        <v>10</v>
      </c>
      <c r="H123" s="21">
        <v>0</v>
      </c>
      <c r="I123" s="20">
        <f>Yl_1-H123</f>
        <v>0</v>
      </c>
      <c r="J123" s="25">
        <f>I123/epszg</f>
        <v>0</v>
      </c>
    </row>
    <row r="124" spans="2:10">
      <c r="B124" s="23">
        <v>0</v>
      </c>
      <c r="C124" s="18">
        <v>0</v>
      </c>
      <c r="D124" s="18">
        <v>1</v>
      </c>
      <c r="E124" s="24">
        <v>0</v>
      </c>
      <c r="F124" s="18"/>
      <c r="G124" s="18" t="s">
        <v>11</v>
      </c>
      <c r="H124" s="21">
        <v>-20</v>
      </c>
      <c r="I124" s="20">
        <f>Zl_1-H124</f>
        <v>0</v>
      </c>
      <c r="J124" s="25">
        <f>I124/epszg</f>
        <v>0</v>
      </c>
    </row>
    <row r="125" spans="2:10">
      <c r="B125" s="23">
        <v>0</v>
      </c>
      <c r="C125" s="18">
        <v>0</v>
      </c>
      <c r="D125" s="18">
        <v>0</v>
      </c>
      <c r="E125" s="24">
        <v>1</v>
      </c>
      <c r="F125" s="18"/>
      <c r="G125" s="18"/>
      <c r="H125" s="21">
        <v>1</v>
      </c>
      <c r="I125" s="18"/>
      <c r="J125" s="18"/>
    </row>
  </sheetData>
  <mergeCells count="13">
    <mergeCell ref="F92:I92"/>
    <mergeCell ref="J92:N92"/>
    <mergeCell ref="A91:D91"/>
    <mergeCell ref="A3:B3"/>
    <mergeCell ref="A4:B4"/>
    <mergeCell ref="A5:B5"/>
    <mergeCell ref="A6:B6"/>
    <mergeCell ref="B92:B93"/>
    <mergeCell ref="B109:E109"/>
    <mergeCell ref="B115:E115"/>
    <mergeCell ref="B121:E121"/>
    <mergeCell ref="A1:B1"/>
    <mergeCell ref="A2:B2"/>
  </mergeCells>
  <pageMargins left="0.75" right="0.75" top="1" bottom="1" header="0.5" footer="0.5"/>
  <pageSetup orientation="portrait" horizontalDpi="4294967292" verticalDpi="4294967292"/>
  <ignoredErrors>
    <ignoredError sqref="M94:M96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5"/>
  <sheetViews>
    <sheetView workbookViewId="0">
      <selection activeCell="B94" sqref="B94:N96"/>
    </sheetView>
  </sheetViews>
  <sheetFormatPr baseColWidth="10" defaultRowHeight="16"/>
  <cols>
    <col min="1" max="1" width="43.5" customWidth="1"/>
    <col min="2" max="2" width="15.1640625" customWidth="1"/>
    <col min="3" max="3" width="13" customWidth="1"/>
    <col min="8" max="8" width="13" customWidth="1"/>
    <col min="12" max="12" width="15.5" customWidth="1"/>
    <col min="16" max="16" width="14.6640625" customWidth="1"/>
  </cols>
  <sheetData>
    <row r="1" spans="1:8">
      <c r="A1" s="68" t="s">
        <v>41</v>
      </c>
      <c r="B1" s="69"/>
    </row>
    <row r="2" spans="1:8">
      <c r="A2" s="70" t="s">
        <v>0</v>
      </c>
      <c r="B2" s="71"/>
    </row>
    <row r="3" spans="1:8" ht="30" customHeight="1">
      <c r="A3" s="72" t="s">
        <v>157</v>
      </c>
      <c r="B3" s="73"/>
    </row>
    <row r="4" spans="1:8" ht="30" customHeight="1">
      <c r="A4" s="72" t="s">
        <v>93</v>
      </c>
      <c r="B4" s="73"/>
    </row>
    <row r="5" spans="1:8">
      <c r="A5" s="74" t="s">
        <v>137</v>
      </c>
      <c r="B5" s="75"/>
    </row>
    <row r="6" spans="1:8">
      <c r="A6" s="74" t="s">
        <v>138</v>
      </c>
      <c r="B6" s="75"/>
    </row>
    <row r="7" spans="1:8">
      <c r="A7" s="32" t="s">
        <v>135</v>
      </c>
      <c r="B7" s="33">
        <v>2</v>
      </c>
    </row>
    <row r="8" spans="1:8">
      <c r="A8" s="34" t="s">
        <v>136</v>
      </c>
      <c r="B8" s="35" t="s">
        <v>215</v>
      </c>
    </row>
    <row r="9" spans="1:8">
      <c r="A9" t="s">
        <v>143</v>
      </c>
      <c r="D9" s="44" t="s">
        <v>188</v>
      </c>
      <c r="E9" s="45"/>
      <c r="F9" s="46"/>
      <c r="G9" s="46"/>
      <c r="H9" s="47"/>
    </row>
    <row r="10" spans="1:8">
      <c r="A10" s="5" t="s">
        <v>189</v>
      </c>
      <c r="B10" s="1">
        <v>-6</v>
      </c>
      <c r="D10" s="23">
        <f>B10+Xl_1</f>
        <v>-6</v>
      </c>
      <c r="E10" s="48" t="s">
        <v>144</v>
      </c>
      <c r="F10" s="49"/>
      <c r="G10" s="49"/>
      <c r="H10" s="9"/>
    </row>
    <row r="11" spans="1:8">
      <c r="A11" s="5" t="s">
        <v>190</v>
      </c>
      <c r="B11" s="1">
        <v>0</v>
      </c>
      <c r="D11" s="23">
        <f>B11+Yl_1</f>
        <v>0</v>
      </c>
      <c r="E11" s="48" t="s">
        <v>145</v>
      </c>
      <c r="F11" s="49"/>
      <c r="G11" s="49"/>
      <c r="H11" s="9"/>
    </row>
    <row r="12" spans="1:8">
      <c r="A12" s="5" t="s">
        <v>191</v>
      </c>
      <c r="B12" s="1">
        <v>0</v>
      </c>
      <c r="D12" s="50">
        <f>B12+Zl_1</f>
        <v>-20</v>
      </c>
      <c r="E12" s="51" t="s">
        <v>146</v>
      </c>
      <c r="F12" s="52"/>
      <c r="G12" s="52"/>
      <c r="H12" s="53"/>
    </row>
    <row r="13" spans="1:8">
      <c r="A13" s="6" t="s">
        <v>176</v>
      </c>
      <c r="B13" s="18"/>
      <c r="C13" s="5"/>
      <c r="D13" s="18"/>
    </row>
    <row r="14" spans="1:8">
      <c r="A14" s="5" t="s">
        <v>180</v>
      </c>
      <c r="B14" s="19">
        <v>5.0000000000000001E-4</v>
      </c>
      <c r="C14" s="5"/>
      <c r="D14" s="18"/>
    </row>
    <row r="15" spans="1:8">
      <c r="A15" s="5" t="s">
        <v>177</v>
      </c>
      <c r="B15" s="26" t="s">
        <v>151</v>
      </c>
      <c r="C15" s="5"/>
      <c r="D15" s="18"/>
    </row>
    <row r="16" spans="1:8">
      <c r="A16" s="5" t="s">
        <v>178</v>
      </c>
      <c r="B16" s="26" t="s">
        <v>150</v>
      </c>
      <c r="C16" s="5"/>
      <c r="D16" s="18"/>
    </row>
    <row r="17" spans="1:9">
      <c r="A17" s="5" t="s">
        <v>179</v>
      </c>
      <c r="B17" s="26" t="s">
        <v>151</v>
      </c>
      <c r="C17" s="5"/>
      <c r="D17" s="18"/>
    </row>
    <row r="18" spans="1:9">
      <c r="A18" s="6" t="s">
        <v>212</v>
      </c>
      <c r="B18" s="1"/>
      <c r="C18" s="16" t="s">
        <v>205</v>
      </c>
    </row>
    <row r="19" spans="1:9">
      <c r="A19" s="5" t="s">
        <v>48</v>
      </c>
      <c r="B19" s="1"/>
      <c r="C19" s="5" t="s">
        <v>48</v>
      </c>
    </row>
    <row r="20" spans="1:9">
      <c r="A20" s="7" t="s">
        <v>95</v>
      </c>
      <c r="B20" s="18">
        <f>Fx_1</f>
        <v>0</v>
      </c>
      <c r="C20" s="7" t="s">
        <v>206</v>
      </c>
      <c r="D20" s="1">
        <v>0</v>
      </c>
      <c r="E20" s="54"/>
      <c r="F20" s="54"/>
      <c r="G20" s="54"/>
      <c r="H20" s="54"/>
      <c r="I20" s="54"/>
    </row>
    <row r="21" spans="1:9">
      <c r="A21" s="7" t="s">
        <v>96</v>
      </c>
      <c r="B21" s="18">
        <f>Fy_1</f>
        <v>0</v>
      </c>
      <c r="C21" s="7" t="s">
        <v>207</v>
      </c>
      <c r="D21" s="1">
        <v>0</v>
      </c>
      <c r="E21" s="54"/>
      <c r="F21" s="54"/>
      <c r="G21" s="54"/>
      <c r="H21" s="54"/>
      <c r="I21" s="54"/>
    </row>
    <row r="22" spans="1:9">
      <c r="A22" s="7" t="s">
        <v>97</v>
      </c>
      <c r="B22" s="18">
        <f>Fz_1</f>
        <v>-10</v>
      </c>
      <c r="C22" s="7" t="s">
        <v>208</v>
      </c>
      <c r="D22" s="1">
        <v>-40</v>
      </c>
      <c r="E22" s="54"/>
      <c r="F22" s="54"/>
      <c r="G22" s="54"/>
      <c r="H22" s="54"/>
      <c r="I22" s="54"/>
    </row>
    <row r="23" spans="1:9">
      <c r="A23" s="5" t="s">
        <v>49</v>
      </c>
      <c r="B23" s="18"/>
      <c r="C23" s="5" t="s">
        <v>49</v>
      </c>
      <c r="D23" s="1"/>
      <c r="E23" s="54"/>
      <c r="F23" s="54"/>
      <c r="G23" s="54"/>
      <c r="H23" s="54"/>
      <c r="I23" s="54"/>
    </row>
    <row r="24" spans="1:9">
      <c r="A24" s="7" t="s">
        <v>98</v>
      </c>
      <c r="B24" s="18">
        <f>Mx_1</f>
        <v>0</v>
      </c>
      <c r="C24" s="7" t="s">
        <v>209</v>
      </c>
      <c r="D24" s="1">
        <v>0</v>
      </c>
      <c r="E24" s="54"/>
      <c r="F24" s="54"/>
      <c r="G24" s="54"/>
      <c r="H24" s="54"/>
      <c r="I24" s="54"/>
    </row>
    <row r="25" spans="1:9">
      <c r="A25" s="7" t="s">
        <v>99</v>
      </c>
      <c r="B25" s="18">
        <f>My_1</f>
        <v>0</v>
      </c>
      <c r="C25" s="7" t="s">
        <v>210</v>
      </c>
      <c r="D25" s="1">
        <v>0</v>
      </c>
      <c r="E25" s="54"/>
      <c r="F25" s="54"/>
      <c r="G25" s="54"/>
      <c r="H25" s="54"/>
      <c r="I25" s="54"/>
    </row>
    <row r="26" spans="1:9">
      <c r="A26" s="7" t="s">
        <v>100</v>
      </c>
      <c r="B26" s="18">
        <f>Mz_1</f>
        <v>0</v>
      </c>
      <c r="C26" s="7" t="s">
        <v>211</v>
      </c>
      <c r="D26" s="1">
        <v>0</v>
      </c>
      <c r="E26" s="54"/>
      <c r="F26" s="54"/>
      <c r="G26" s="54"/>
      <c r="H26" s="54"/>
      <c r="I26" s="54"/>
    </row>
    <row r="27" spans="1:9">
      <c r="A27" s="6" t="s">
        <v>26</v>
      </c>
      <c r="B27" s="1"/>
    </row>
    <row r="28" spans="1:9">
      <c r="A28" s="5" t="s">
        <v>101</v>
      </c>
      <c r="B28" s="43">
        <f>B20+D20</f>
        <v>0</v>
      </c>
      <c r="C28" s="29" t="s">
        <v>199</v>
      </c>
    </row>
    <row r="29" spans="1:9">
      <c r="A29" s="5" t="s">
        <v>102</v>
      </c>
      <c r="B29" s="43">
        <f>B21+D21</f>
        <v>0</v>
      </c>
      <c r="C29" s="29" t="s">
        <v>200</v>
      </c>
    </row>
    <row r="30" spans="1:9">
      <c r="A30" s="5" t="s">
        <v>103</v>
      </c>
      <c r="B30" s="43">
        <f>B22+D22</f>
        <v>-50</v>
      </c>
      <c r="C30" s="29" t="s">
        <v>201</v>
      </c>
    </row>
    <row r="31" spans="1:9">
      <c r="A31" s="5" t="s">
        <v>104</v>
      </c>
      <c r="B31" s="43">
        <f>B21*B12-B22*B11+B24+D24</f>
        <v>0</v>
      </c>
      <c r="C31" s="29" t="s">
        <v>202</v>
      </c>
    </row>
    <row r="32" spans="1:9">
      <c r="A32" s="5" t="s">
        <v>105</v>
      </c>
      <c r="B32" s="43">
        <f>B22*D10-B20*D12+B25+D25</f>
        <v>60</v>
      </c>
      <c r="C32" s="29" t="s">
        <v>203</v>
      </c>
    </row>
    <row r="33" spans="1:12">
      <c r="A33" s="5" t="s">
        <v>106</v>
      </c>
      <c r="B33" s="43">
        <f>B20*D11-B21*D10+B26+D26</f>
        <v>0</v>
      </c>
      <c r="C33" s="29" t="s">
        <v>204</v>
      </c>
    </row>
    <row r="34" spans="1:12">
      <c r="A34" t="s">
        <v>1</v>
      </c>
      <c r="B34" s="1"/>
    </row>
    <row r="35" spans="1:12">
      <c r="A35" s="5" t="s">
        <v>166</v>
      </c>
      <c r="B35" t="s">
        <v>167</v>
      </c>
    </row>
    <row r="36" spans="1:12">
      <c r="A36" s="10" t="s">
        <v>158</v>
      </c>
      <c r="B36" s="2" t="s">
        <v>169</v>
      </c>
      <c r="C36" s="2" t="s">
        <v>168</v>
      </c>
      <c r="D36" s="2" t="s">
        <v>170</v>
      </c>
    </row>
    <row r="37" spans="1:12">
      <c r="A37">
        <v>1</v>
      </c>
      <c r="B37" s="1">
        <v>6</v>
      </c>
      <c r="C37" s="1">
        <v>6</v>
      </c>
      <c r="D37" s="1">
        <v>0</v>
      </c>
    </row>
    <row r="38" spans="1:12">
      <c r="A38">
        <v>2</v>
      </c>
      <c r="B38" s="1">
        <v>6</v>
      </c>
      <c r="C38" s="1">
        <v>-6</v>
      </c>
      <c r="D38" s="1">
        <v>0</v>
      </c>
    </row>
    <row r="39" spans="1:12">
      <c r="A39">
        <v>3</v>
      </c>
      <c r="B39" s="1">
        <v>-6</v>
      </c>
      <c r="C39" s="1">
        <v>-6</v>
      </c>
      <c r="D39" s="1">
        <v>0</v>
      </c>
    </row>
    <row r="40" spans="1:12">
      <c r="A40">
        <v>4</v>
      </c>
      <c r="B40" s="1">
        <v>-6</v>
      </c>
      <c r="C40" s="1">
        <v>6</v>
      </c>
      <c r="D40" s="1">
        <v>0</v>
      </c>
    </row>
    <row r="41" spans="1:12">
      <c r="A41" s="5" t="s">
        <v>30</v>
      </c>
    </row>
    <row r="42" spans="1:12">
      <c r="A42" s="5"/>
      <c r="B42" t="s">
        <v>162</v>
      </c>
    </row>
    <row r="43" spans="1:12">
      <c r="B43" s="42" t="str">
        <f>B15</f>
        <v>no</v>
      </c>
      <c r="C43" s="42" t="str">
        <f>B16</f>
        <v>yes</v>
      </c>
      <c r="D43" s="42" t="str">
        <f>B17</f>
        <v>no</v>
      </c>
    </row>
    <row r="44" spans="1:12">
      <c r="A44" s="10" t="s">
        <v>158</v>
      </c>
      <c r="B44" s="2" t="s">
        <v>159</v>
      </c>
      <c r="C44" s="2" t="s">
        <v>160</v>
      </c>
      <c r="D44" s="2" t="s">
        <v>161</v>
      </c>
      <c r="E44" s="2" t="s">
        <v>163</v>
      </c>
      <c r="F44" s="2" t="s">
        <v>164</v>
      </c>
      <c r="G44" s="2" t="s">
        <v>165</v>
      </c>
    </row>
    <row r="45" spans="1:12">
      <c r="A45">
        <v>1</v>
      </c>
      <c r="B45" s="1">
        <v>100000</v>
      </c>
      <c r="C45" s="1">
        <v>0</v>
      </c>
      <c r="D45" s="1">
        <v>100000</v>
      </c>
      <c r="E45" s="1">
        <v>100000</v>
      </c>
      <c r="F45" s="1">
        <v>100000</v>
      </c>
      <c r="G45" s="1">
        <v>100000</v>
      </c>
      <c r="H45" s="57" t="s">
        <v>222</v>
      </c>
      <c r="I45" s="57"/>
      <c r="J45" s="57"/>
      <c r="K45" s="57"/>
      <c r="L45" s="57"/>
    </row>
    <row r="46" spans="1:12">
      <c r="A46">
        <v>2</v>
      </c>
      <c r="B46" s="1">
        <v>100000</v>
      </c>
      <c r="C46" s="1">
        <v>0</v>
      </c>
      <c r="D46" s="1">
        <v>100000</v>
      </c>
      <c r="E46" s="1">
        <v>100000</v>
      </c>
      <c r="F46" s="1">
        <v>100000</v>
      </c>
      <c r="G46" s="1">
        <v>100000</v>
      </c>
      <c r="H46" s="57" t="s">
        <v>222</v>
      </c>
      <c r="I46" s="57"/>
      <c r="J46" s="57"/>
      <c r="K46" s="57"/>
      <c r="L46" s="57"/>
    </row>
    <row r="47" spans="1:12">
      <c r="A47">
        <v>3</v>
      </c>
      <c r="B47" s="1">
        <v>100000</v>
      </c>
      <c r="C47" s="1">
        <v>0</v>
      </c>
      <c r="D47" s="1">
        <v>100000</v>
      </c>
      <c r="E47" s="1">
        <v>100000</v>
      </c>
      <c r="F47" s="1">
        <v>100000</v>
      </c>
      <c r="G47" s="1">
        <v>100000</v>
      </c>
      <c r="H47" s="57" t="s">
        <v>222</v>
      </c>
      <c r="I47" s="57"/>
      <c r="J47" s="57"/>
      <c r="K47" s="57"/>
      <c r="L47" s="57"/>
    </row>
    <row r="48" spans="1:12">
      <c r="A48">
        <v>4</v>
      </c>
      <c r="B48" s="1">
        <v>100000</v>
      </c>
      <c r="C48" s="1">
        <v>0</v>
      </c>
      <c r="D48" s="1">
        <v>100000</v>
      </c>
      <c r="E48" s="1">
        <v>100000</v>
      </c>
      <c r="F48" s="1">
        <v>100000</v>
      </c>
      <c r="G48" s="1">
        <v>100000</v>
      </c>
      <c r="H48" s="57" t="s">
        <v>222</v>
      </c>
      <c r="I48" s="57"/>
      <c r="J48" s="57"/>
      <c r="K48" s="57"/>
      <c r="L48" s="57"/>
    </row>
    <row r="49" spans="1:7">
      <c r="B49" s="1"/>
      <c r="C49" s="1"/>
      <c r="D49" s="1"/>
      <c r="E49" s="1"/>
      <c r="F49" s="1"/>
      <c r="G49" s="1"/>
    </row>
    <row r="50" spans="1:7">
      <c r="A50" s="5" t="s">
        <v>64</v>
      </c>
      <c r="B50" s="1"/>
      <c r="C50" s="41" t="s">
        <v>152</v>
      </c>
    </row>
    <row r="51" spans="1:7">
      <c r="A51" s="7" t="s">
        <v>171</v>
      </c>
      <c r="B51" s="1">
        <v>0</v>
      </c>
      <c r="C51" s="22" t="str">
        <f>B15</f>
        <v>no</v>
      </c>
    </row>
    <row r="52" spans="1:7">
      <c r="A52" s="7" t="s">
        <v>107</v>
      </c>
      <c r="B52" s="1">
        <v>5.0000000000000001E-4</v>
      </c>
      <c r="C52" s="22" t="str">
        <f>B16</f>
        <v>yes</v>
      </c>
    </row>
    <row r="53" spans="1:7">
      <c r="A53" s="7" t="s">
        <v>108</v>
      </c>
      <c r="B53" s="1">
        <v>5.0000000000000001E-4</v>
      </c>
      <c r="C53" s="22" t="str">
        <f>B17</f>
        <v>no</v>
      </c>
    </row>
    <row r="54" spans="1:7">
      <c r="A54" s="7" t="s">
        <v>70</v>
      </c>
      <c r="B54" s="1"/>
    </row>
    <row r="55" spans="1:7">
      <c r="A55" s="13" t="s">
        <v>37</v>
      </c>
      <c r="B55" s="1"/>
    </row>
    <row r="56" spans="1:7">
      <c r="A56" s="14" t="s">
        <v>109</v>
      </c>
      <c r="B56" s="43">
        <f>B51</f>
        <v>0</v>
      </c>
      <c r="C56" s="60" t="s">
        <v>126</v>
      </c>
    </row>
    <row r="57" spans="1:7">
      <c r="A57" s="14" t="s">
        <v>110</v>
      </c>
      <c r="B57" s="43">
        <f>B52</f>
        <v>5.0000000000000001E-4</v>
      </c>
      <c r="C57" s="60" t="s">
        <v>127</v>
      </c>
    </row>
    <row r="58" spans="1:7">
      <c r="A58" s="14" t="s">
        <v>111</v>
      </c>
      <c r="B58" s="43">
        <f>B53</f>
        <v>5.0000000000000001E-4</v>
      </c>
      <c r="C58" s="60" t="s">
        <v>128</v>
      </c>
    </row>
    <row r="59" spans="1:7">
      <c r="A59" s="13" t="s">
        <v>38</v>
      </c>
      <c r="B59" s="43"/>
      <c r="C59" s="60"/>
    </row>
    <row r="60" spans="1:7">
      <c r="A60" s="14" t="s">
        <v>112</v>
      </c>
      <c r="B60" s="43">
        <f>IF(ABS(C37)&gt;0,B53/ABS(C37),0)+IF(ABS(D37)&gt;0,B52/ABS(D37),0)</f>
        <v>8.3333333333333331E-5</v>
      </c>
      <c r="C60" s="58" t="s">
        <v>173</v>
      </c>
    </row>
    <row r="61" spans="1:7">
      <c r="A61" s="14" t="s">
        <v>113</v>
      </c>
      <c r="B61" s="43">
        <f>IF(ABS(B37)&gt;0,B53/ABS(B37),0)+IF(ABS(D37)&gt;0,B51/ABS(D37),0)</f>
        <v>8.3333333333333331E-5</v>
      </c>
      <c r="C61" s="58" t="s">
        <v>174</v>
      </c>
    </row>
    <row r="62" spans="1:7">
      <c r="A62" s="14" t="s">
        <v>114</v>
      </c>
      <c r="B62" s="43">
        <f>IF(ABS(B37)&gt;0,B52/ABS(B37),0)+IF(ABS(C37)&gt;0,B51/ABS(C37),0)</f>
        <v>8.3333333333333331E-5</v>
      </c>
      <c r="C62" s="58" t="s">
        <v>181</v>
      </c>
    </row>
    <row r="63" spans="1:7">
      <c r="A63" s="6" t="s">
        <v>18</v>
      </c>
      <c r="B63" s="59"/>
      <c r="C63" s="61"/>
    </row>
    <row r="64" spans="1:7">
      <c r="A64" s="5" t="s">
        <v>22</v>
      </c>
      <c r="B64" s="59"/>
      <c r="C64" s="62" t="s">
        <v>152</v>
      </c>
    </row>
    <row r="65" spans="1:4">
      <c r="A65" s="7" t="s">
        <v>155</v>
      </c>
      <c r="B65" s="59">
        <v>100000</v>
      </c>
      <c r="C65" s="62"/>
    </row>
    <row r="66" spans="1:4">
      <c r="A66" s="7" t="s">
        <v>156</v>
      </c>
      <c r="B66" s="43">
        <f>IF(C66="yes",B65,B45+B46+B47+B48)</f>
        <v>400000</v>
      </c>
      <c r="C66" s="42" t="str">
        <f>C51</f>
        <v>no</v>
      </c>
      <c r="D66" s="29" t="s">
        <v>182</v>
      </c>
    </row>
    <row r="67" spans="1:4">
      <c r="A67" s="7" t="s">
        <v>115</v>
      </c>
      <c r="B67" s="43">
        <f>IF(C67="yes",B65,C45+C46+C47+C48)</f>
        <v>100000</v>
      </c>
      <c r="C67" s="42" t="str">
        <f t="shared" ref="C67:C68" si="0">C52</f>
        <v>yes</v>
      </c>
      <c r="D67" s="29" t="s">
        <v>183</v>
      </c>
    </row>
    <row r="68" spans="1:4">
      <c r="A68" s="7" t="s">
        <v>116</v>
      </c>
      <c r="B68" s="43">
        <f>IF(C68="yes",B65,D45+D46+D47+D48)</f>
        <v>400000</v>
      </c>
      <c r="C68" s="42" t="str">
        <f t="shared" si="0"/>
        <v>no</v>
      </c>
      <c r="D68" s="29" t="s">
        <v>184</v>
      </c>
    </row>
    <row r="69" spans="1:4">
      <c r="A69" s="5" t="s">
        <v>21</v>
      </c>
      <c r="B69" s="43"/>
      <c r="C69" s="61"/>
      <c r="D69" s="29"/>
    </row>
    <row r="70" spans="1:4">
      <c r="A70" s="7" t="s">
        <v>117</v>
      </c>
      <c r="B70" s="43">
        <f>D45*C37^2+D46*C38^2+D47*C39^2+D48*C40^2+C45*D37^2+C46*D38^2+C47*D39^2+C48*D40^2+E45+E46+E47+E48</f>
        <v>14800000</v>
      </c>
      <c r="C70" s="61"/>
      <c r="D70" s="29" t="s">
        <v>185</v>
      </c>
    </row>
    <row r="71" spans="1:4">
      <c r="A71" s="7" t="s">
        <v>118</v>
      </c>
      <c r="B71" s="43">
        <f>D45*B37^2+D46*B38^2+D47*B39^2+D48*B40^2+B45*D37^2+B46*D38^2+B47*D39^2+B48*D40^2+F45+F46+F47+F48</f>
        <v>14800000</v>
      </c>
      <c r="C71" s="61"/>
      <c r="D71" s="29" t="s">
        <v>186</v>
      </c>
    </row>
    <row r="72" spans="1:4">
      <c r="A72" s="7" t="s">
        <v>119</v>
      </c>
      <c r="B72" s="43">
        <f>C45*B37^2+C46*B38^2+C47*B39^2+C48*B40^2+B45*C37^2+B46*C38^2+B47*C39^2+B48*C40^2+G45+G46+G47+G48</f>
        <v>14800000</v>
      </c>
      <c r="C72" s="61"/>
      <c r="D72" s="29" t="s">
        <v>187</v>
      </c>
    </row>
    <row r="73" spans="1:4">
      <c r="A73" s="6" t="s">
        <v>74</v>
      </c>
      <c r="B73" s="59"/>
      <c r="C73" s="60"/>
    </row>
    <row r="74" spans="1:4">
      <c r="A74" s="5" t="s">
        <v>37</v>
      </c>
      <c r="B74" s="59"/>
      <c r="C74" s="60"/>
    </row>
    <row r="75" spans="1:4">
      <c r="A75" s="7" t="s">
        <v>120</v>
      </c>
      <c r="B75" s="63">
        <f>B20/B66</f>
        <v>0</v>
      </c>
      <c r="C75" s="64" t="s">
        <v>129</v>
      </c>
    </row>
    <row r="76" spans="1:4">
      <c r="A76" s="7" t="s">
        <v>121</v>
      </c>
      <c r="B76" s="63">
        <f>B21/B67</f>
        <v>0</v>
      </c>
      <c r="C76" s="64" t="s">
        <v>130</v>
      </c>
    </row>
    <row r="77" spans="1:4">
      <c r="A77" s="7" t="s">
        <v>122</v>
      </c>
      <c r="B77" s="63">
        <f>B22/B68</f>
        <v>-2.5000000000000001E-5</v>
      </c>
      <c r="C77" s="64" t="s">
        <v>131</v>
      </c>
    </row>
    <row r="78" spans="1:4">
      <c r="A78" s="5" t="s">
        <v>38</v>
      </c>
      <c r="B78" s="63"/>
      <c r="C78" s="64"/>
    </row>
    <row r="79" spans="1:4">
      <c r="A79" s="7" t="s">
        <v>123</v>
      </c>
      <c r="B79" s="63">
        <f>B31/B70</f>
        <v>0</v>
      </c>
      <c r="C79" s="64" t="s">
        <v>132</v>
      </c>
    </row>
    <row r="80" spans="1:4">
      <c r="A80" s="7" t="s">
        <v>124</v>
      </c>
      <c r="B80" s="63">
        <f>B32/B71</f>
        <v>4.0540540540540537E-6</v>
      </c>
      <c r="C80" s="64" t="s">
        <v>133</v>
      </c>
    </row>
    <row r="81" spans="1:14">
      <c r="A81" s="7" t="s">
        <v>125</v>
      </c>
      <c r="B81" s="63">
        <f>B33/B72</f>
        <v>0</v>
      </c>
      <c r="C81" s="64" t="s">
        <v>134</v>
      </c>
    </row>
    <row r="82" spans="1:14">
      <c r="A82" s="6"/>
    </row>
    <row r="83" spans="1:14">
      <c r="A83" s="5"/>
      <c r="B83" s="3"/>
    </row>
    <row r="84" spans="1:14">
      <c r="A84" s="5" t="s">
        <v>56</v>
      </c>
      <c r="B84" s="3"/>
    </row>
    <row r="85" spans="1:14">
      <c r="A85" s="5"/>
      <c r="B85" s="3"/>
    </row>
    <row r="86" spans="1:14">
      <c r="A86" s="5" t="s">
        <v>58</v>
      </c>
      <c r="B86" s="4"/>
    </row>
    <row r="87" spans="1:14">
      <c r="A87" s="5"/>
      <c r="B87" s="12" t="s">
        <v>61</v>
      </c>
      <c r="C87" s="2" t="s">
        <v>62</v>
      </c>
      <c r="D87" s="2" t="s">
        <v>63</v>
      </c>
    </row>
    <row r="88" spans="1:14">
      <c r="A88" s="10" t="s">
        <v>57</v>
      </c>
      <c r="B88" s="66">
        <f>J110</f>
        <v>0</v>
      </c>
      <c r="C88" s="66">
        <f>J116</f>
        <v>19.9969966669169</v>
      </c>
      <c r="D88" s="66">
        <f>J122</f>
        <v>-2.9999997499530195E-3</v>
      </c>
    </row>
    <row r="89" spans="1:14">
      <c r="A89" s="10" t="s">
        <v>59</v>
      </c>
      <c r="B89" s="66">
        <f t="shared" ref="B89:B90" si="1">J111</f>
        <v>-19.999996666666831</v>
      </c>
      <c r="C89" s="66">
        <f t="shared" ref="C89:C90" si="2">J117</f>
        <v>0</v>
      </c>
      <c r="D89" s="66">
        <f t="shared" ref="D89:D90" si="3">J123</f>
        <v>5.9999990000000496</v>
      </c>
    </row>
    <row r="90" spans="1:14">
      <c r="A90" s="10" t="s">
        <v>60</v>
      </c>
      <c r="B90" s="66">
        <f t="shared" si="1"/>
        <v>-9.9999991647337083E-3</v>
      </c>
      <c r="C90" s="66">
        <f t="shared" si="2"/>
        <v>-6.0099989991648783</v>
      </c>
      <c r="D90" s="66">
        <f t="shared" si="3"/>
        <v>0</v>
      </c>
    </row>
    <row r="91" spans="1:14">
      <c r="A91" s="67" t="s">
        <v>92</v>
      </c>
      <c r="B91" s="67"/>
      <c r="C91" s="67"/>
      <c r="D91" s="67"/>
    </row>
    <row r="92" spans="1:14">
      <c r="B92" s="76" t="s">
        <v>75</v>
      </c>
      <c r="C92" s="2" t="s">
        <v>83</v>
      </c>
      <c r="D92" s="15"/>
      <c r="F92" s="67" t="s">
        <v>81</v>
      </c>
      <c r="G92" s="67"/>
      <c r="H92" s="67"/>
      <c r="I92" s="67"/>
      <c r="J92" s="67" t="s">
        <v>82</v>
      </c>
      <c r="K92" s="67"/>
      <c r="L92" s="67"/>
      <c r="M92" s="67"/>
      <c r="N92" s="67"/>
    </row>
    <row r="93" spans="1:14">
      <c r="A93" s="10"/>
      <c r="B93" s="76"/>
      <c r="C93" s="2" t="s">
        <v>88</v>
      </c>
      <c r="F93" t="s">
        <v>80</v>
      </c>
      <c r="G93" t="s">
        <v>84</v>
      </c>
      <c r="H93" t="s">
        <v>85</v>
      </c>
      <c r="I93" t="s">
        <v>86</v>
      </c>
      <c r="J93" t="s">
        <v>76</v>
      </c>
      <c r="K93" t="s">
        <v>77</v>
      </c>
      <c r="L93" t="s">
        <v>78</v>
      </c>
      <c r="M93" t="s">
        <v>79</v>
      </c>
      <c r="N93" t="s">
        <v>87</v>
      </c>
    </row>
    <row r="94" spans="1:14">
      <c r="A94" s="10" t="s">
        <v>57</v>
      </c>
      <c r="B94" s="63">
        <f>B75+B$79*B88+B$80*C88+B$81*D88</f>
        <v>8.1068905406419858E-5</v>
      </c>
      <c r="C94" s="63">
        <f>N94</f>
        <v>1.2498748010535033E-3</v>
      </c>
      <c r="D94" s="63"/>
      <c r="E94" s="59"/>
      <c r="F94" s="63">
        <f>B56+IF(B15="yes",B$14,0)</f>
        <v>0</v>
      </c>
      <c r="G94" s="63">
        <f>B$60*B88</f>
        <v>0</v>
      </c>
      <c r="H94" s="63">
        <f>B$61*C88</f>
        <v>1.6664163889097416E-3</v>
      </c>
      <c r="I94" s="63">
        <f>B$62*D88</f>
        <v>-2.4999997916275163E-7</v>
      </c>
      <c r="J94" s="63">
        <f>ABS(F94)+ABS(G94)+ABS(H94)+ABS(I94)</f>
        <v>1.6666663888889044E-3</v>
      </c>
      <c r="K94" s="63">
        <f>SQRT(F94^2+G94^2+H94^2+I94^2)</f>
        <v>1.6664164076625545E-3</v>
      </c>
      <c r="L94" s="63">
        <f>AVERAGE(J94,K94)</f>
        <v>1.6665413982757294E-3</v>
      </c>
      <c r="M94" s="63">
        <f>SQRT((F94^2+G94^2+H94^2+I94^2)/4)</f>
        <v>8.3320820383127726E-4</v>
      </c>
      <c r="N94" s="63">
        <f>AVERAGE(L94,M94)</f>
        <v>1.2498748010535033E-3</v>
      </c>
    </row>
    <row r="95" spans="1:14">
      <c r="A95" s="10" t="s">
        <v>59</v>
      </c>
      <c r="B95" s="63">
        <f>B76+B$79*B89+B$80*C89+B$81*D89</f>
        <v>0</v>
      </c>
      <c r="C95" s="63">
        <f>N95</f>
        <v>1.795132665566631E-3</v>
      </c>
      <c r="D95" s="63"/>
      <c r="E95" s="59"/>
      <c r="F95" s="63">
        <f>B57+IF(B16="yes",B$14,0)</f>
        <v>1E-3</v>
      </c>
      <c r="G95" s="63">
        <f t="shared" ref="G95:G96" si="4">B$60*B89</f>
        <v>-1.6666663888889027E-3</v>
      </c>
      <c r="H95" s="63">
        <f t="shared" ref="H95:H96" si="5">B$61*C89</f>
        <v>0</v>
      </c>
      <c r="I95" s="63">
        <f t="shared" ref="I95:I96" si="6">B$62*D89</f>
        <v>4.9999991666667073E-4</v>
      </c>
      <c r="J95" s="63">
        <f>ABS(F95)+ABS(G95)+ABS(H95)+ABS(I95)</f>
        <v>3.1666663055555733E-3</v>
      </c>
      <c r="K95" s="63">
        <f>SQRT(F95^2+G95^2+H95^2+I95^2)</f>
        <v>2.0069321783554753E-3</v>
      </c>
      <c r="L95" s="63">
        <f t="shared" ref="L95:L96" si="7">AVERAGE(J95,K95)</f>
        <v>2.5867992419555241E-3</v>
      </c>
      <c r="M95" s="63">
        <f>SQRT((F95^2+G95^2+H95^2+I95^2)/4)</f>
        <v>1.0034660891777376E-3</v>
      </c>
      <c r="N95" s="63">
        <f t="shared" ref="N95:N96" si="8">AVERAGE(L95,M95)</f>
        <v>1.795132665566631E-3</v>
      </c>
    </row>
    <row r="96" spans="1:14">
      <c r="A96" s="10" t="s">
        <v>60</v>
      </c>
      <c r="B96" s="63">
        <f>B77+B$79*B90+B$80*C90+B$81*D90</f>
        <v>-4.9364860807425181E-5</v>
      </c>
      <c r="C96" s="63">
        <f>N96</f>
        <v>6.0426500268329487E-4</v>
      </c>
      <c r="D96" s="63"/>
      <c r="E96" s="59"/>
      <c r="F96" s="63">
        <f>B58+IF(B17="yes",B$14,0)</f>
        <v>5.0000000000000001E-4</v>
      </c>
      <c r="G96" s="63">
        <f t="shared" si="4"/>
        <v>-8.3333326372780903E-7</v>
      </c>
      <c r="H96" s="63">
        <f t="shared" si="5"/>
        <v>-5.0083324993040656E-4</v>
      </c>
      <c r="I96" s="63">
        <f t="shared" si="6"/>
        <v>0</v>
      </c>
      <c r="J96" s="63">
        <f>ABS(F96)+ABS(G96)+ABS(H96)+ABS(I96)</f>
        <v>1.0016665831941345E-3</v>
      </c>
      <c r="K96" s="63">
        <f>SQRT(F96^2+G96^2+H96^2+I96^2)</f>
        <v>7.076967137695225E-4</v>
      </c>
      <c r="L96" s="63">
        <f t="shared" si="7"/>
        <v>8.546816484818285E-4</v>
      </c>
      <c r="M96" s="63">
        <f>SQRT((F96^2+G96^2+H96^2+I96^2)/4)</f>
        <v>3.5384835688476125E-4</v>
      </c>
      <c r="N96" s="63">
        <f t="shared" si="8"/>
        <v>6.0426500268329487E-4</v>
      </c>
    </row>
    <row r="99" spans="1:10">
      <c r="A99" t="s">
        <v>39</v>
      </c>
    </row>
    <row r="100" spans="1:10">
      <c r="A100" t="s">
        <v>40</v>
      </c>
    </row>
    <row r="101" spans="1:10">
      <c r="A101" t="s">
        <v>42</v>
      </c>
      <c r="B101" s="1">
        <v>1E-3</v>
      </c>
    </row>
    <row r="102" spans="1:10">
      <c r="A102" t="s">
        <v>43</v>
      </c>
      <c r="B102" s="1">
        <v>1E-3</v>
      </c>
    </row>
    <row r="103" spans="1:10">
      <c r="A103" t="s">
        <v>44</v>
      </c>
      <c r="B103" s="1">
        <v>1E-3</v>
      </c>
    </row>
    <row r="104" spans="1:10">
      <c r="A104" t="s">
        <v>5</v>
      </c>
    </row>
    <row r="105" spans="1:10">
      <c r="A105" t="s">
        <v>6</v>
      </c>
      <c r="B105" s="38">
        <f>D10</f>
        <v>-6</v>
      </c>
      <c r="C105" s="18"/>
      <c r="D105" s="18"/>
      <c r="E105" s="18"/>
      <c r="F105" s="18"/>
      <c r="G105" s="18"/>
      <c r="H105" s="18"/>
      <c r="I105" s="18"/>
      <c r="J105" s="18"/>
    </row>
    <row r="106" spans="1:10">
      <c r="A106" t="s">
        <v>7</v>
      </c>
      <c r="B106" s="38">
        <f>D11</f>
        <v>0</v>
      </c>
      <c r="C106" s="18"/>
      <c r="D106" s="18"/>
      <c r="E106" s="18"/>
      <c r="F106" s="18"/>
      <c r="G106" s="18"/>
      <c r="H106" s="18"/>
      <c r="I106" s="18"/>
      <c r="J106" s="18"/>
    </row>
    <row r="107" spans="1:10">
      <c r="A107" t="s">
        <v>8</v>
      </c>
      <c r="B107" s="38">
        <f>D12</f>
        <v>-20</v>
      </c>
      <c r="C107" s="18"/>
      <c r="D107" s="18"/>
      <c r="E107" s="18"/>
      <c r="F107" s="18"/>
      <c r="G107" s="18"/>
      <c r="H107" s="18"/>
      <c r="I107" s="18"/>
      <c r="J107" s="18"/>
    </row>
    <row r="108" spans="1:10">
      <c r="B108" s="38">
        <v>1</v>
      </c>
      <c r="C108" s="18"/>
      <c r="D108" s="18"/>
      <c r="E108" s="18"/>
      <c r="F108" s="18"/>
      <c r="G108" s="8" t="s">
        <v>45</v>
      </c>
      <c r="H108" s="18"/>
      <c r="I108" s="18"/>
      <c r="J108" s="18"/>
    </row>
    <row r="109" spans="1:10">
      <c r="B109" s="67" t="s">
        <v>3</v>
      </c>
      <c r="C109" s="67"/>
      <c r="D109" s="67"/>
      <c r="E109" s="67"/>
      <c r="F109" s="18"/>
      <c r="G109" s="18"/>
      <c r="H109" s="12" t="s">
        <v>12</v>
      </c>
      <c r="I109" s="12" t="s">
        <v>13</v>
      </c>
      <c r="J109" s="12" t="s">
        <v>14</v>
      </c>
    </row>
    <row r="110" spans="1:10">
      <c r="B110" s="36">
        <v>1</v>
      </c>
      <c r="C110" s="27">
        <v>0</v>
      </c>
      <c r="D110" s="27">
        <v>0</v>
      </c>
      <c r="E110" s="37">
        <v>0</v>
      </c>
      <c r="F110" s="18"/>
      <c r="G110" s="27" t="s">
        <v>9</v>
      </c>
      <c r="H110" s="38">
        <f t="array" ref="H110:H113">MMULT(B110:E113,B105:B108)</f>
        <v>-6</v>
      </c>
      <c r="I110" s="31">
        <f>D10-H110</f>
        <v>0</v>
      </c>
      <c r="J110" s="39">
        <f>I110/B101</f>
        <v>0</v>
      </c>
    </row>
    <row r="111" spans="1:10">
      <c r="B111" s="36">
        <v>0</v>
      </c>
      <c r="C111" s="27">
        <f>COS(B101)</f>
        <v>0.99999950000004167</v>
      </c>
      <c r="D111" s="27">
        <f>-SIN(B101)</f>
        <v>-9.9999983333334168E-4</v>
      </c>
      <c r="E111" s="37">
        <v>0</v>
      </c>
      <c r="F111" s="18"/>
      <c r="G111" s="27" t="s">
        <v>10</v>
      </c>
      <c r="H111" s="38">
        <v>1.9999996666666832E-2</v>
      </c>
      <c r="I111" s="31">
        <f>D11-H111</f>
        <v>-1.9999996666666832E-2</v>
      </c>
      <c r="J111" s="39">
        <f>I111/B101</f>
        <v>-19.999996666666831</v>
      </c>
    </row>
    <row r="112" spans="1:10">
      <c r="B112" s="36">
        <v>0</v>
      </c>
      <c r="C112" s="27">
        <f>SIN(B101)</f>
        <v>9.9999983333334168E-4</v>
      </c>
      <c r="D112" s="27">
        <f>C111</f>
        <v>0.99999950000004167</v>
      </c>
      <c r="E112" s="37">
        <v>0</v>
      </c>
      <c r="F112" s="18"/>
      <c r="G112" s="27" t="s">
        <v>11</v>
      </c>
      <c r="H112" s="38">
        <v>-19.999990000000835</v>
      </c>
      <c r="I112" s="31">
        <f>D12-H112</f>
        <v>-9.9999991647337083E-6</v>
      </c>
      <c r="J112" s="39">
        <f>I112/B101</f>
        <v>-9.9999991647337083E-3</v>
      </c>
    </row>
    <row r="113" spans="2:10">
      <c r="B113" s="36">
        <v>0</v>
      </c>
      <c r="C113" s="27">
        <v>0</v>
      </c>
      <c r="D113" s="27">
        <v>0</v>
      </c>
      <c r="E113" s="37">
        <v>1</v>
      </c>
      <c r="F113" s="18"/>
      <c r="G113" s="27"/>
      <c r="H113" s="38">
        <v>1</v>
      </c>
      <c r="I113" s="31"/>
      <c r="J113" s="27"/>
    </row>
    <row r="114" spans="2:10">
      <c r="B114" s="18"/>
      <c r="C114" s="18"/>
      <c r="D114" s="18"/>
      <c r="E114" s="18"/>
      <c r="F114" s="18"/>
      <c r="G114" s="8" t="s">
        <v>46</v>
      </c>
      <c r="H114" s="8"/>
      <c r="I114" s="8"/>
      <c r="J114" s="8"/>
    </row>
    <row r="115" spans="2:10">
      <c r="B115" s="67" t="s">
        <v>2</v>
      </c>
      <c r="C115" s="67"/>
      <c r="D115" s="67"/>
      <c r="E115" s="67"/>
      <c r="F115" s="18"/>
      <c r="G115" s="8"/>
      <c r="H115" s="12" t="s">
        <v>12</v>
      </c>
      <c r="I115" s="12" t="s">
        <v>13</v>
      </c>
      <c r="J115" s="12" t="s">
        <v>14</v>
      </c>
    </row>
    <row r="116" spans="2:10">
      <c r="B116" s="36">
        <f>COS(B102)</f>
        <v>0.99999950000004167</v>
      </c>
      <c r="C116" s="27">
        <v>0</v>
      </c>
      <c r="D116" s="27">
        <f>SIN(B102)</f>
        <v>9.9999983333334168E-4</v>
      </c>
      <c r="E116" s="37">
        <v>0</v>
      </c>
      <c r="F116" s="18"/>
      <c r="G116" s="27" t="s">
        <v>9</v>
      </c>
      <c r="H116" s="38">
        <f t="array" ref="H116:H119">MMULT(B116:E119,B105:B108)</f>
        <v>-6.0199969966669169</v>
      </c>
      <c r="I116" s="31">
        <f>D10-H116</f>
        <v>1.99969966669169E-2</v>
      </c>
      <c r="J116" s="39">
        <f>I116/B102</f>
        <v>19.9969966669169</v>
      </c>
    </row>
    <row r="117" spans="2:10">
      <c r="B117" s="36">
        <v>0</v>
      </c>
      <c r="C117" s="27">
        <v>1</v>
      </c>
      <c r="D117" s="27">
        <v>0</v>
      </c>
      <c r="E117" s="37">
        <v>0</v>
      </c>
      <c r="F117" s="18"/>
      <c r="G117" s="27" t="s">
        <v>10</v>
      </c>
      <c r="H117" s="38">
        <v>0</v>
      </c>
      <c r="I117" s="31">
        <f>D11-H117</f>
        <v>0</v>
      </c>
      <c r="J117" s="39">
        <f>I117/B102</f>
        <v>0</v>
      </c>
    </row>
    <row r="118" spans="2:10">
      <c r="B118" s="36">
        <f>-SIN(B102)</f>
        <v>-9.9999983333334168E-4</v>
      </c>
      <c r="C118" s="27">
        <v>0</v>
      </c>
      <c r="D118" s="27">
        <f>B116</f>
        <v>0.99999950000004167</v>
      </c>
      <c r="E118" s="37">
        <v>0</v>
      </c>
      <c r="F118" s="18"/>
      <c r="G118" s="27" t="s">
        <v>11</v>
      </c>
      <c r="H118" s="38">
        <v>-19.993990001000835</v>
      </c>
      <c r="I118" s="31">
        <f>D12-H118</f>
        <v>-6.0099989991648783E-3</v>
      </c>
      <c r="J118" s="39">
        <f>I118/B102</f>
        <v>-6.0099989991648783</v>
      </c>
    </row>
    <row r="119" spans="2:10">
      <c r="B119" s="36">
        <v>0</v>
      </c>
      <c r="C119" s="27">
        <v>0</v>
      </c>
      <c r="D119" s="27">
        <v>0</v>
      </c>
      <c r="E119" s="37">
        <v>1</v>
      </c>
      <c r="F119" s="18"/>
      <c r="G119" s="27"/>
      <c r="H119" s="38">
        <v>1</v>
      </c>
      <c r="I119" s="27"/>
      <c r="J119" s="27"/>
    </row>
    <row r="120" spans="2:10">
      <c r="B120" s="18"/>
      <c r="C120" s="18"/>
      <c r="D120" s="18"/>
      <c r="E120" s="18"/>
      <c r="F120" s="18"/>
      <c r="G120" s="8" t="s">
        <v>47</v>
      </c>
      <c r="H120" s="8"/>
      <c r="I120" s="8"/>
      <c r="J120" s="8"/>
    </row>
    <row r="121" spans="2:10">
      <c r="B121" s="67" t="s">
        <v>4</v>
      </c>
      <c r="C121" s="67"/>
      <c r="D121" s="67"/>
      <c r="E121" s="67"/>
      <c r="F121" s="18"/>
      <c r="G121" s="8"/>
      <c r="H121" s="12" t="s">
        <v>12</v>
      </c>
      <c r="I121" s="12" t="s">
        <v>13</v>
      </c>
      <c r="J121" s="12" t="s">
        <v>14</v>
      </c>
    </row>
    <row r="122" spans="2:10">
      <c r="B122" s="36">
        <f>COS(B103)</f>
        <v>0.99999950000004167</v>
      </c>
      <c r="C122" s="27">
        <f>-SIN(B103)</f>
        <v>-9.9999983333334168E-4</v>
      </c>
      <c r="D122" s="27">
        <v>0</v>
      </c>
      <c r="E122" s="37">
        <v>0</v>
      </c>
      <c r="F122" s="18"/>
      <c r="G122" s="27" t="s">
        <v>9</v>
      </c>
      <c r="H122" s="38">
        <f t="array" ref="H122:H125">MMULT(B122:E125,B105:B108)</f>
        <v>-5.99999700000025</v>
      </c>
      <c r="I122" s="31">
        <f>D10-H122</f>
        <v>-2.9999997499530195E-6</v>
      </c>
      <c r="J122" s="39">
        <f>I122/B103</f>
        <v>-2.9999997499530195E-3</v>
      </c>
    </row>
    <row r="123" spans="2:10">
      <c r="B123" s="36">
        <f>SIN(B103)</f>
        <v>9.9999983333334168E-4</v>
      </c>
      <c r="C123" s="27">
        <f>B122</f>
        <v>0.99999950000004167</v>
      </c>
      <c r="D123" s="27">
        <v>0</v>
      </c>
      <c r="E123" s="37">
        <v>0</v>
      </c>
      <c r="F123" s="18"/>
      <c r="G123" s="27" t="s">
        <v>10</v>
      </c>
      <c r="H123" s="38">
        <v>-5.9999990000000501E-3</v>
      </c>
      <c r="I123" s="31">
        <f>D11-H123</f>
        <v>5.9999990000000501E-3</v>
      </c>
      <c r="J123" s="39">
        <f>I123/B103</f>
        <v>5.9999990000000496</v>
      </c>
    </row>
    <row r="124" spans="2:10">
      <c r="B124" s="36">
        <v>0</v>
      </c>
      <c r="C124" s="27">
        <v>0</v>
      </c>
      <c r="D124" s="27">
        <v>1</v>
      </c>
      <c r="E124" s="37">
        <v>0</v>
      </c>
      <c r="F124" s="18"/>
      <c r="G124" s="27" t="s">
        <v>11</v>
      </c>
      <c r="H124" s="38">
        <v>-20</v>
      </c>
      <c r="I124" s="31">
        <f>D12-H124</f>
        <v>0</v>
      </c>
      <c r="J124" s="39">
        <f>I124/B103</f>
        <v>0</v>
      </c>
    </row>
    <row r="125" spans="2:10">
      <c r="B125" s="36">
        <v>0</v>
      </c>
      <c r="C125" s="27">
        <v>0</v>
      </c>
      <c r="D125" s="27">
        <v>0</v>
      </c>
      <c r="E125" s="37">
        <v>1</v>
      </c>
      <c r="F125" s="18"/>
      <c r="G125" s="27"/>
      <c r="H125" s="38">
        <v>1</v>
      </c>
      <c r="I125" s="27"/>
      <c r="J125" s="27"/>
    </row>
  </sheetData>
  <mergeCells count="13">
    <mergeCell ref="B115:E115"/>
    <mergeCell ref="B121:E121"/>
    <mergeCell ref="A91:D91"/>
    <mergeCell ref="B92:B93"/>
    <mergeCell ref="F92:I92"/>
    <mergeCell ref="J92:N92"/>
    <mergeCell ref="B109:E109"/>
    <mergeCell ref="A1:B1"/>
    <mergeCell ref="A2:B2"/>
    <mergeCell ref="A3:B3"/>
    <mergeCell ref="A4:B4"/>
    <mergeCell ref="A5:B5"/>
    <mergeCell ref="A6:B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B100" sqref="B100"/>
    </sheetView>
  </sheetViews>
  <sheetFormatPr baseColWidth="10" defaultRowHeight="16"/>
  <cols>
    <col min="1" max="1" width="43.5" customWidth="1"/>
    <col min="2" max="2" width="15.1640625" customWidth="1"/>
    <col min="3" max="3" width="13" customWidth="1"/>
    <col min="8" max="8" width="13" customWidth="1"/>
    <col min="12" max="12" width="15.5" customWidth="1"/>
    <col min="16" max="16" width="14.6640625" customWidth="1"/>
  </cols>
  <sheetData>
    <row r="1" spans="1:8">
      <c r="A1" s="68" t="s">
        <v>41</v>
      </c>
      <c r="B1" s="69"/>
    </row>
    <row r="2" spans="1:8">
      <c r="A2" s="70" t="s">
        <v>0</v>
      </c>
      <c r="B2" s="71"/>
    </row>
    <row r="3" spans="1:8">
      <c r="A3" s="72" t="s">
        <v>157</v>
      </c>
      <c r="B3" s="73"/>
    </row>
    <row r="4" spans="1:8">
      <c r="A4" s="72" t="s">
        <v>93</v>
      </c>
      <c r="B4" s="73"/>
    </row>
    <row r="5" spans="1:8">
      <c r="A5" s="74" t="s">
        <v>137</v>
      </c>
      <c r="B5" s="75"/>
    </row>
    <row r="6" spans="1:8">
      <c r="A6" s="74" t="s">
        <v>138</v>
      </c>
      <c r="B6" s="75"/>
    </row>
    <row r="7" spans="1:8">
      <c r="A7" s="32" t="s">
        <v>135</v>
      </c>
      <c r="B7" s="33">
        <v>3</v>
      </c>
    </row>
    <row r="8" spans="1:8">
      <c r="A8" s="34" t="s">
        <v>136</v>
      </c>
      <c r="B8" s="35" t="s">
        <v>216</v>
      </c>
    </row>
    <row r="9" spans="1:8">
      <c r="A9" t="s">
        <v>143</v>
      </c>
      <c r="D9" s="44" t="s">
        <v>188</v>
      </c>
      <c r="E9" s="45"/>
      <c r="F9" s="46"/>
      <c r="G9" s="46"/>
      <c r="H9" s="47"/>
    </row>
    <row r="10" spans="1:8">
      <c r="A10" s="5" t="s">
        <v>189</v>
      </c>
      <c r="B10" s="1">
        <v>0</v>
      </c>
      <c r="D10" s="23">
        <f>B10+'Axis 2'!D10</f>
        <v>-6</v>
      </c>
      <c r="E10" s="48" t="s">
        <v>144</v>
      </c>
      <c r="F10" s="49"/>
      <c r="G10" s="49"/>
      <c r="H10" s="9"/>
    </row>
    <row r="11" spans="1:8">
      <c r="A11" s="5" t="s">
        <v>190</v>
      </c>
      <c r="B11" s="1">
        <v>20</v>
      </c>
      <c r="D11" s="23">
        <f>B11+'Axis 2'!D11</f>
        <v>20</v>
      </c>
      <c r="E11" s="48" t="s">
        <v>145</v>
      </c>
      <c r="F11" s="49"/>
      <c r="G11" s="49"/>
      <c r="H11" s="9"/>
    </row>
    <row r="12" spans="1:8">
      <c r="A12" s="5" t="s">
        <v>191</v>
      </c>
      <c r="B12" s="1">
        <v>0</v>
      </c>
      <c r="D12" s="23">
        <f>B12+'Axis 2'!D12</f>
        <v>-20</v>
      </c>
      <c r="E12" s="51" t="s">
        <v>146</v>
      </c>
      <c r="F12" s="52"/>
      <c r="G12" s="52"/>
      <c r="H12" s="53"/>
    </row>
    <row r="13" spans="1:8">
      <c r="A13" s="6" t="s">
        <v>176</v>
      </c>
      <c r="B13" s="18"/>
      <c r="C13" s="5"/>
      <c r="D13" s="18"/>
    </row>
    <row r="14" spans="1:8">
      <c r="A14" s="5" t="s">
        <v>180</v>
      </c>
      <c r="B14" s="19">
        <v>1E-3</v>
      </c>
      <c r="C14" s="5"/>
      <c r="D14" s="18"/>
    </row>
    <row r="15" spans="1:8">
      <c r="A15" s="5" t="s">
        <v>177</v>
      </c>
      <c r="B15" s="26" t="s">
        <v>150</v>
      </c>
      <c r="C15" s="5"/>
      <c r="D15" s="18"/>
    </row>
    <row r="16" spans="1:8">
      <c r="A16" s="5" t="s">
        <v>178</v>
      </c>
      <c r="B16" s="26" t="s">
        <v>151</v>
      </c>
      <c r="C16" s="5"/>
      <c r="D16" s="18"/>
    </row>
    <row r="17" spans="1:9">
      <c r="A17" s="5" t="s">
        <v>179</v>
      </c>
      <c r="B17" s="26" t="s">
        <v>151</v>
      </c>
      <c r="C17" s="5"/>
      <c r="D17" s="18"/>
    </row>
    <row r="18" spans="1:9">
      <c r="A18" s="6" t="s">
        <v>212</v>
      </c>
      <c r="B18" s="1"/>
      <c r="C18" s="16" t="s">
        <v>205</v>
      </c>
    </row>
    <row r="19" spans="1:9">
      <c r="A19" s="5" t="s">
        <v>48</v>
      </c>
      <c r="B19" s="1"/>
      <c r="C19" s="5" t="s">
        <v>48</v>
      </c>
    </row>
    <row r="20" spans="1:9">
      <c r="A20" s="7" t="s">
        <v>95</v>
      </c>
      <c r="B20" s="18">
        <f>'Axis 2'!B28</f>
        <v>0</v>
      </c>
      <c r="C20" s="7" t="s">
        <v>206</v>
      </c>
      <c r="D20" s="1">
        <v>0</v>
      </c>
      <c r="E20" s="54"/>
      <c r="F20" s="54"/>
      <c r="G20" s="54"/>
      <c r="H20" s="54"/>
      <c r="I20" s="54"/>
    </row>
    <row r="21" spans="1:9">
      <c r="A21" s="7" t="s">
        <v>96</v>
      </c>
      <c r="B21" s="18">
        <f>'Axis 2'!B29</f>
        <v>0</v>
      </c>
      <c r="C21" s="7" t="s">
        <v>207</v>
      </c>
      <c r="D21" s="1">
        <v>0</v>
      </c>
      <c r="E21" s="54"/>
      <c r="F21" s="54"/>
      <c r="G21" s="54"/>
      <c r="H21" s="54"/>
      <c r="I21" s="54"/>
    </row>
    <row r="22" spans="1:9">
      <c r="A22" s="7" t="s">
        <v>97</v>
      </c>
      <c r="B22" s="18">
        <f>'Axis 2'!B30</f>
        <v>-50</v>
      </c>
      <c r="C22" s="7" t="s">
        <v>208</v>
      </c>
      <c r="D22" s="1">
        <v>-150</v>
      </c>
      <c r="E22" s="54" t="s">
        <v>219</v>
      </c>
      <c r="F22" s="54"/>
      <c r="G22" s="54"/>
      <c r="H22" s="54"/>
      <c r="I22" s="54"/>
    </row>
    <row r="23" spans="1:9">
      <c r="A23" s="5" t="s">
        <v>49</v>
      </c>
      <c r="B23" s="18"/>
      <c r="C23" s="5" t="s">
        <v>49</v>
      </c>
      <c r="D23" s="1"/>
      <c r="E23" s="54"/>
      <c r="F23" s="54"/>
      <c r="G23" s="54"/>
      <c r="H23" s="54"/>
      <c r="I23" s="54"/>
    </row>
    <row r="24" spans="1:9">
      <c r="A24" s="7" t="s">
        <v>98</v>
      </c>
      <c r="B24" s="18">
        <f>'Axis 2'!B31</f>
        <v>0</v>
      </c>
      <c r="C24" s="7" t="s">
        <v>209</v>
      </c>
      <c r="D24" s="1">
        <f>50*10</f>
        <v>500</v>
      </c>
      <c r="E24" s="54" t="s">
        <v>218</v>
      </c>
      <c r="F24" s="54"/>
      <c r="G24" s="54"/>
      <c r="H24" s="54"/>
      <c r="I24" s="54"/>
    </row>
    <row r="25" spans="1:9">
      <c r="A25" s="7" t="s">
        <v>99</v>
      </c>
      <c r="B25" s="18">
        <f>'Axis 2'!B32</f>
        <v>60</v>
      </c>
      <c r="C25" s="7" t="s">
        <v>210</v>
      </c>
      <c r="D25" s="1">
        <v>0</v>
      </c>
      <c r="E25" s="54"/>
      <c r="F25" s="54"/>
      <c r="G25" s="54"/>
      <c r="H25" s="54"/>
      <c r="I25" s="54"/>
    </row>
    <row r="26" spans="1:9">
      <c r="A26" s="7" t="s">
        <v>100</v>
      </c>
      <c r="B26" s="18">
        <f>'Axis 2'!B33</f>
        <v>0</v>
      </c>
      <c r="C26" s="7" t="s">
        <v>211</v>
      </c>
      <c r="D26" s="1">
        <v>0</v>
      </c>
      <c r="E26" s="54"/>
      <c r="F26" s="54"/>
      <c r="G26" s="54"/>
      <c r="H26" s="54"/>
      <c r="I26" s="54"/>
    </row>
    <row r="27" spans="1:9">
      <c r="A27" s="6" t="s">
        <v>26</v>
      </c>
      <c r="B27" s="1"/>
    </row>
    <row r="28" spans="1:9">
      <c r="A28" s="5" t="s">
        <v>101</v>
      </c>
      <c r="B28" s="43">
        <f>B20+D20</f>
        <v>0</v>
      </c>
      <c r="C28" s="29" t="s">
        <v>199</v>
      </c>
    </row>
    <row r="29" spans="1:9">
      <c r="A29" s="5" t="s">
        <v>102</v>
      </c>
      <c r="B29" s="43">
        <f>B21+D21</f>
        <v>0</v>
      </c>
      <c r="C29" s="29" t="s">
        <v>200</v>
      </c>
    </row>
    <row r="30" spans="1:9">
      <c r="A30" s="5" t="s">
        <v>103</v>
      </c>
      <c r="B30" s="43">
        <f>B22+D22</f>
        <v>-200</v>
      </c>
      <c r="C30" s="29" t="s">
        <v>201</v>
      </c>
    </row>
    <row r="31" spans="1:9">
      <c r="A31" s="5" t="s">
        <v>104</v>
      </c>
      <c r="B31" s="43">
        <f>B21*B12-B22*B11+B24+D24</f>
        <v>1500</v>
      </c>
      <c r="C31" s="29" t="s">
        <v>202</v>
      </c>
    </row>
    <row r="32" spans="1:9">
      <c r="A32" s="5" t="s">
        <v>105</v>
      </c>
      <c r="B32" s="43">
        <f>B22*D10-B20*D12+B25+D25</f>
        <v>360</v>
      </c>
      <c r="C32" s="29" t="s">
        <v>203</v>
      </c>
    </row>
    <row r="33" spans="1:13">
      <c r="A33" s="5" t="s">
        <v>106</v>
      </c>
      <c r="B33" s="43">
        <f>B20*D11-B21*D10+B26+D26</f>
        <v>0</v>
      </c>
      <c r="C33" s="29" t="s">
        <v>204</v>
      </c>
    </row>
    <row r="34" spans="1:13">
      <c r="A34" t="s">
        <v>1</v>
      </c>
      <c r="B34" s="1"/>
    </row>
    <row r="35" spans="1:13">
      <c r="A35" s="5" t="s">
        <v>166</v>
      </c>
      <c r="B35" t="s">
        <v>167</v>
      </c>
    </row>
    <row r="36" spans="1:13">
      <c r="A36" s="10" t="s">
        <v>158</v>
      </c>
      <c r="B36" s="2" t="s">
        <v>169</v>
      </c>
      <c r="C36" s="2" t="s">
        <v>168</v>
      </c>
      <c r="D36" s="2" t="s">
        <v>170</v>
      </c>
    </row>
    <row r="37" spans="1:13">
      <c r="A37">
        <v>1</v>
      </c>
      <c r="B37" s="1">
        <v>7</v>
      </c>
      <c r="C37" s="1">
        <v>7</v>
      </c>
      <c r="D37" s="1">
        <v>0</v>
      </c>
    </row>
    <row r="38" spans="1:13">
      <c r="A38">
        <v>2</v>
      </c>
      <c r="B38" s="1">
        <v>7</v>
      </c>
      <c r="C38" s="1">
        <v>-7</v>
      </c>
      <c r="D38" s="1">
        <v>0</v>
      </c>
    </row>
    <row r="39" spans="1:13">
      <c r="A39">
        <v>3</v>
      </c>
      <c r="B39" s="1">
        <v>-7</v>
      </c>
      <c r="C39" s="1">
        <v>-7</v>
      </c>
      <c r="D39" s="1">
        <v>0</v>
      </c>
    </row>
    <row r="40" spans="1:13">
      <c r="A40">
        <v>4</v>
      </c>
      <c r="B40" s="1">
        <v>-7</v>
      </c>
      <c r="C40" s="1">
        <v>7</v>
      </c>
      <c r="D40" s="1">
        <v>0</v>
      </c>
    </row>
    <row r="41" spans="1:13">
      <c r="A41" s="5" t="s">
        <v>30</v>
      </c>
    </row>
    <row r="42" spans="1:13">
      <c r="A42" s="5"/>
      <c r="B42" t="s">
        <v>162</v>
      </c>
    </row>
    <row r="43" spans="1:13">
      <c r="B43" s="42" t="str">
        <f>B15</f>
        <v>yes</v>
      </c>
      <c r="C43" s="42" t="str">
        <f>B16</f>
        <v>no</v>
      </c>
      <c r="D43" s="42" t="str">
        <f>B17</f>
        <v>no</v>
      </c>
    </row>
    <row r="44" spans="1:13">
      <c r="A44" s="10" t="s">
        <v>158</v>
      </c>
      <c r="B44" s="2" t="s">
        <v>159</v>
      </c>
      <c r="C44" s="2" t="s">
        <v>160</v>
      </c>
      <c r="D44" s="2" t="s">
        <v>161</v>
      </c>
      <c r="E44" s="2" t="s">
        <v>163</v>
      </c>
      <c r="F44" s="2" t="s">
        <v>164</v>
      </c>
      <c r="G44" s="2" t="s">
        <v>165</v>
      </c>
    </row>
    <row r="45" spans="1:13">
      <c r="A45">
        <v>1</v>
      </c>
      <c r="B45" s="1">
        <v>0</v>
      </c>
      <c r="C45" s="1">
        <v>100000</v>
      </c>
      <c r="D45" s="1">
        <v>100000</v>
      </c>
      <c r="E45" s="1">
        <v>100000</v>
      </c>
      <c r="F45" s="1">
        <v>100000</v>
      </c>
      <c r="G45" s="1">
        <v>100000</v>
      </c>
      <c r="H45" s="57" t="s">
        <v>221</v>
      </c>
      <c r="I45" s="57"/>
      <c r="J45" s="57"/>
      <c r="K45" s="57"/>
      <c r="L45" s="57"/>
      <c r="M45" s="57"/>
    </row>
    <row r="46" spans="1:13">
      <c r="A46">
        <v>2</v>
      </c>
      <c r="B46" s="1">
        <v>0</v>
      </c>
      <c r="C46" s="1">
        <v>100000</v>
      </c>
      <c r="D46" s="1">
        <v>100000</v>
      </c>
      <c r="E46" s="1">
        <v>100000</v>
      </c>
      <c r="F46" s="1">
        <v>100000</v>
      </c>
      <c r="G46" s="1">
        <v>100000</v>
      </c>
      <c r="H46" s="57" t="s">
        <v>221</v>
      </c>
      <c r="I46" s="57"/>
      <c r="J46" s="57"/>
      <c r="K46" s="57"/>
      <c r="L46" s="57"/>
      <c r="M46" s="57"/>
    </row>
    <row r="47" spans="1:13">
      <c r="A47">
        <v>3</v>
      </c>
      <c r="B47" s="1">
        <v>0</v>
      </c>
      <c r="C47" s="1">
        <v>100000</v>
      </c>
      <c r="D47" s="1">
        <v>100000</v>
      </c>
      <c r="E47" s="1">
        <v>100000</v>
      </c>
      <c r="F47" s="1">
        <v>100000</v>
      </c>
      <c r="G47" s="1">
        <v>100000</v>
      </c>
      <c r="H47" s="57" t="s">
        <v>221</v>
      </c>
      <c r="I47" s="57"/>
      <c r="J47" s="57"/>
      <c r="K47" s="57"/>
      <c r="L47" s="57"/>
      <c r="M47" s="57"/>
    </row>
    <row r="48" spans="1:13">
      <c r="A48">
        <v>4</v>
      </c>
      <c r="B48" s="1">
        <v>0</v>
      </c>
      <c r="C48" s="1">
        <v>100000</v>
      </c>
      <c r="D48" s="1">
        <v>100000</v>
      </c>
      <c r="E48" s="1">
        <v>100000</v>
      </c>
      <c r="F48" s="1">
        <v>100000</v>
      </c>
      <c r="G48" s="1">
        <v>100000</v>
      </c>
      <c r="H48" s="57" t="s">
        <v>221</v>
      </c>
      <c r="I48" s="57"/>
      <c r="J48" s="57"/>
      <c r="K48" s="57"/>
      <c r="L48" s="57"/>
      <c r="M48" s="57"/>
    </row>
    <row r="49" spans="1:7">
      <c r="B49" s="1"/>
      <c r="C49" s="1"/>
      <c r="D49" s="1"/>
      <c r="E49" s="1"/>
      <c r="F49" s="1"/>
      <c r="G49" s="1"/>
    </row>
    <row r="50" spans="1:7">
      <c r="A50" s="5" t="s">
        <v>64</v>
      </c>
      <c r="B50" s="1"/>
      <c r="C50" s="41" t="s">
        <v>152</v>
      </c>
    </row>
    <row r="51" spans="1:7">
      <c r="A51" s="7" t="s">
        <v>171</v>
      </c>
      <c r="B51" s="1">
        <v>0</v>
      </c>
      <c r="C51" s="22" t="str">
        <f>B15</f>
        <v>yes</v>
      </c>
    </row>
    <row r="52" spans="1:7">
      <c r="A52" s="7" t="s">
        <v>107</v>
      </c>
      <c r="B52" s="1">
        <v>5.0000000000000001E-4</v>
      </c>
      <c r="C52" s="22" t="str">
        <f>B16</f>
        <v>no</v>
      </c>
    </row>
    <row r="53" spans="1:7">
      <c r="A53" s="7" t="s">
        <v>108</v>
      </c>
      <c r="B53" s="1">
        <v>5.0000000000000001E-4</v>
      </c>
      <c r="C53" s="22" t="str">
        <f>B17</f>
        <v>no</v>
      </c>
    </row>
    <row r="54" spans="1:7">
      <c r="A54" s="7" t="s">
        <v>70</v>
      </c>
      <c r="B54" s="1"/>
    </row>
    <row r="55" spans="1:7">
      <c r="A55" s="13" t="s">
        <v>37</v>
      </c>
      <c r="B55" s="1"/>
    </row>
    <row r="56" spans="1:7">
      <c r="A56" s="14" t="s">
        <v>109</v>
      </c>
      <c r="B56" s="43">
        <f>B51</f>
        <v>0</v>
      </c>
      <c r="C56" s="60" t="s">
        <v>126</v>
      </c>
    </row>
    <row r="57" spans="1:7">
      <c r="A57" s="14" t="s">
        <v>110</v>
      </c>
      <c r="B57" s="43">
        <f>B52</f>
        <v>5.0000000000000001E-4</v>
      </c>
      <c r="C57" s="60" t="s">
        <v>127</v>
      </c>
    </row>
    <row r="58" spans="1:7">
      <c r="A58" s="14" t="s">
        <v>111</v>
      </c>
      <c r="B58" s="43">
        <f>B53</f>
        <v>5.0000000000000001E-4</v>
      </c>
      <c r="C58" s="60" t="s">
        <v>128</v>
      </c>
    </row>
    <row r="59" spans="1:7">
      <c r="A59" s="13" t="s">
        <v>38</v>
      </c>
      <c r="B59" s="43"/>
      <c r="C59" s="60"/>
    </row>
    <row r="60" spans="1:7">
      <c r="A60" s="14" t="s">
        <v>112</v>
      </c>
      <c r="B60" s="43">
        <f>IF(ABS(C37)&gt;0,B53/ABS(C37),0)+IF(ABS(D37)&gt;0,B52/ABS(D37),0)</f>
        <v>7.1428571428571434E-5</v>
      </c>
      <c r="C60" s="58" t="s">
        <v>173</v>
      </c>
    </row>
    <row r="61" spans="1:7">
      <c r="A61" s="14" t="s">
        <v>113</v>
      </c>
      <c r="B61" s="43">
        <f>IF(ABS(B37)&gt;0,B53/ABS(B37),0)+IF(ABS(D37)&gt;0,B51/ABS(D37),0)</f>
        <v>7.1428571428571434E-5</v>
      </c>
      <c r="C61" s="58" t="s">
        <v>174</v>
      </c>
    </row>
    <row r="62" spans="1:7">
      <c r="A62" s="14" t="s">
        <v>114</v>
      </c>
      <c r="B62" s="43">
        <f>IF(ABS(B37)&gt;0,B52/ABS(B37),0)+IF(ABS(C37)&gt;0,B51/ABS(C37),0)</f>
        <v>7.1428571428571434E-5</v>
      </c>
      <c r="C62" s="58" t="s">
        <v>181</v>
      </c>
    </row>
    <row r="63" spans="1:7">
      <c r="A63" s="6" t="s">
        <v>18</v>
      </c>
      <c r="B63" s="59"/>
      <c r="C63" s="61"/>
    </row>
    <row r="64" spans="1:7">
      <c r="A64" s="5" t="s">
        <v>22</v>
      </c>
      <c r="B64" s="59"/>
      <c r="C64" s="62" t="s">
        <v>152</v>
      </c>
    </row>
    <row r="65" spans="1:4">
      <c r="A65" s="7" t="s">
        <v>155</v>
      </c>
      <c r="B65" s="59">
        <v>100000</v>
      </c>
      <c r="C65" s="62"/>
    </row>
    <row r="66" spans="1:4">
      <c r="A66" s="7" t="s">
        <v>156</v>
      </c>
      <c r="B66" s="43">
        <f>IF(C66="yes",B65,B45+B46+B47+B48)</f>
        <v>100000</v>
      </c>
      <c r="C66" s="42" t="str">
        <f>C51</f>
        <v>yes</v>
      </c>
      <c r="D66" s="29" t="s">
        <v>182</v>
      </c>
    </row>
    <row r="67" spans="1:4">
      <c r="A67" s="7" t="s">
        <v>115</v>
      </c>
      <c r="B67" s="43">
        <f>IF(C67="yes",B65,C45+C46+C47+C48)</f>
        <v>400000</v>
      </c>
      <c r="C67" s="42" t="str">
        <f t="shared" ref="C67:C68" si="0">C52</f>
        <v>no</v>
      </c>
      <c r="D67" s="29" t="s">
        <v>183</v>
      </c>
    </row>
    <row r="68" spans="1:4">
      <c r="A68" s="7" t="s">
        <v>116</v>
      </c>
      <c r="B68" s="43">
        <f>IF(C68="yes",B65,D45+D46+D47+D48)</f>
        <v>400000</v>
      </c>
      <c r="C68" s="42" t="str">
        <f t="shared" si="0"/>
        <v>no</v>
      </c>
      <c r="D68" s="29" t="s">
        <v>184</v>
      </c>
    </row>
    <row r="69" spans="1:4">
      <c r="A69" s="5" t="s">
        <v>21</v>
      </c>
      <c r="B69" s="43"/>
      <c r="C69" s="61"/>
      <c r="D69" s="29"/>
    </row>
    <row r="70" spans="1:4">
      <c r="A70" s="7" t="s">
        <v>117</v>
      </c>
      <c r="B70" s="43">
        <f>D45*C37^2+D46*C38^2+D47*C39^2+D48*C40^2+C45*D37^2+C46*D38^2+C47*D39^2+C48*D40^2+E45+E46+E47+E48</f>
        <v>20000000</v>
      </c>
      <c r="C70" s="61"/>
      <c r="D70" s="29" t="s">
        <v>185</v>
      </c>
    </row>
    <row r="71" spans="1:4">
      <c r="A71" s="7" t="s">
        <v>118</v>
      </c>
      <c r="B71" s="43">
        <f>D45*B37^2+D46*B38^2+D47*B39^2+D48*B40^2+B45*D37^2+B46*D38^2+B47*D39^2+B48*D40^2+F45+F46+F47+F48</f>
        <v>20000000</v>
      </c>
      <c r="C71" s="61"/>
      <c r="D71" s="29" t="s">
        <v>186</v>
      </c>
    </row>
    <row r="72" spans="1:4">
      <c r="A72" s="7" t="s">
        <v>119</v>
      </c>
      <c r="B72" s="43">
        <f>C45*B37^2+C46*B38^2+C47*B39^2+C48*B40^2+B45*C37^2+B46*C38^2+B47*C39^2+B48*C40^2+G45+G46+G47+G48</f>
        <v>20000000</v>
      </c>
      <c r="C72" s="61"/>
      <c r="D72" s="29" t="s">
        <v>187</v>
      </c>
    </row>
    <row r="73" spans="1:4">
      <c r="A73" s="6" t="s">
        <v>74</v>
      </c>
      <c r="B73" s="59"/>
      <c r="C73" s="60"/>
    </row>
    <row r="74" spans="1:4">
      <c r="A74" s="5" t="s">
        <v>37</v>
      </c>
      <c r="B74" s="59"/>
      <c r="C74" s="60"/>
    </row>
    <row r="75" spans="1:4">
      <c r="A75" s="7" t="s">
        <v>120</v>
      </c>
      <c r="B75" s="63">
        <f>B20/B66</f>
        <v>0</v>
      </c>
      <c r="C75" s="64" t="s">
        <v>129</v>
      </c>
    </row>
    <row r="76" spans="1:4">
      <c r="A76" s="7" t="s">
        <v>121</v>
      </c>
      <c r="B76" s="63">
        <f>B21/B67</f>
        <v>0</v>
      </c>
      <c r="C76" s="64" t="s">
        <v>130</v>
      </c>
    </row>
    <row r="77" spans="1:4">
      <c r="A77" s="7" t="s">
        <v>122</v>
      </c>
      <c r="B77" s="63">
        <f>B22/B68</f>
        <v>-1.25E-4</v>
      </c>
      <c r="C77" s="64" t="s">
        <v>131</v>
      </c>
    </row>
    <row r="78" spans="1:4">
      <c r="A78" s="5" t="s">
        <v>38</v>
      </c>
      <c r="B78" s="63"/>
      <c r="C78" s="64"/>
    </row>
    <row r="79" spans="1:4">
      <c r="A79" s="7" t="s">
        <v>123</v>
      </c>
      <c r="B79" s="63">
        <f>B31/B70</f>
        <v>7.4999999999999993E-5</v>
      </c>
      <c r="C79" s="64" t="s">
        <v>132</v>
      </c>
    </row>
    <row r="80" spans="1:4">
      <c r="A80" s="7" t="s">
        <v>124</v>
      </c>
      <c r="B80" s="63">
        <f>B32/B71</f>
        <v>1.8E-5</v>
      </c>
      <c r="C80" s="64" t="s">
        <v>133</v>
      </c>
    </row>
    <row r="81" spans="1:14">
      <c r="A81" s="7" t="s">
        <v>125</v>
      </c>
      <c r="B81" s="63">
        <f>B33/B72</f>
        <v>0</v>
      </c>
      <c r="C81" s="64" t="s">
        <v>134</v>
      </c>
    </row>
    <row r="82" spans="1:14">
      <c r="A82" s="6"/>
    </row>
    <row r="83" spans="1:14">
      <c r="A83" s="5"/>
      <c r="B83" s="3"/>
    </row>
    <row r="84" spans="1:14">
      <c r="A84" s="5" t="s">
        <v>56</v>
      </c>
      <c r="B84" s="3"/>
    </row>
    <row r="85" spans="1:14">
      <c r="A85" s="5"/>
      <c r="B85" s="3"/>
    </row>
    <row r="86" spans="1:14">
      <c r="A86" s="5" t="s">
        <v>58</v>
      </c>
      <c r="B86" s="4"/>
    </row>
    <row r="87" spans="1:14">
      <c r="A87" s="5"/>
      <c r="B87" s="12" t="s">
        <v>61</v>
      </c>
      <c r="C87" s="2" t="s">
        <v>62</v>
      </c>
      <c r="D87" s="2" t="s">
        <v>63</v>
      </c>
    </row>
    <row r="88" spans="1:14">
      <c r="A88" s="10" t="s">
        <v>57</v>
      </c>
      <c r="B88" s="66">
        <f>J110</f>
        <v>0</v>
      </c>
      <c r="C88" s="66">
        <f>J116</f>
        <v>19.9969966669169</v>
      </c>
      <c r="D88" s="66">
        <f>J122</f>
        <v>19.9969966669169</v>
      </c>
    </row>
    <row r="89" spans="1:14">
      <c r="A89" s="10" t="s">
        <v>59</v>
      </c>
      <c r="B89" s="66">
        <f t="shared" ref="B89:B90" si="1">J111</f>
        <v>-19.989996667501231</v>
      </c>
      <c r="C89" s="66">
        <f t="shared" ref="C89:C90" si="2">J117</f>
        <v>0</v>
      </c>
      <c r="D89" s="66">
        <f t="shared" ref="D89:D90" si="3">J123</f>
        <v>6.0099989991648783</v>
      </c>
    </row>
    <row r="90" spans="1:14">
      <c r="A90" s="10" t="s">
        <v>60</v>
      </c>
      <c r="B90" s="66">
        <f t="shared" si="1"/>
        <v>-20.009996665830698</v>
      </c>
      <c r="C90" s="66">
        <f t="shared" si="2"/>
        <v>-6.0099989991648783</v>
      </c>
      <c r="D90" s="66">
        <f t="shared" si="3"/>
        <v>0</v>
      </c>
    </row>
    <row r="91" spans="1:14">
      <c r="A91" s="67" t="s">
        <v>92</v>
      </c>
      <c r="B91" s="67"/>
      <c r="C91" s="67"/>
      <c r="D91" s="67"/>
    </row>
    <row r="92" spans="1:14">
      <c r="B92" s="76" t="s">
        <v>75</v>
      </c>
      <c r="C92" s="2" t="s">
        <v>83</v>
      </c>
      <c r="D92" s="15"/>
      <c r="F92" s="67" t="s">
        <v>81</v>
      </c>
      <c r="G92" s="67"/>
      <c r="H92" s="67"/>
      <c r="I92" s="67"/>
      <c r="J92" s="67" t="s">
        <v>82</v>
      </c>
      <c r="K92" s="67"/>
      <c r="L92" s="67"/>
      <c r="M92" s="67"/>
      <c r="N92" s="67"/>
    </row>
    <row r="93" spans="1:14">
      <c r="A93" s="10"/>
      <c r="B93" s="76"/>
      <c r="C93" s="2" t="s">
        <v>88</v>
      </c>
      <c r="F93" t="s">
        <v>80</v>
      </c>
      <c r="G93" t="s">
        <v>84</v>
      </c>
      <c r="H93" t="s">
        <v>85</v>
      </c>
      <c r="I93" t="s">
        <v>86</v>
      </c>
      <c r="J93" t="s">
        <v>76</v>
      </c>
      <c r="K93" t="s">
        <v>77</v>
      </c>
      <c r="L93" t="s">
        <v>78</v>
      </c>
      <c r="M93" t="s">
        <v>79</v>
      </c>
      <c r="N93" t="s">
        <v>87</v>
      </c>
    </row>
    <row r="94" spans="1:14">
      <c r="A94" s="10" t="s">
        <v>57</v>
      </c>
      <c r="B94" s="63">
        <f>B75+B$79*B88+B$80*C88+B$81*D88</f>
        <v>3.5994594000450422E-4</v>
      </c>
      <c r="C94" s="63">
        <f>N94</f>
        <v>2.0911663510454316E-3</v>
      </c>
      <c r="D94" s="63"/>
      <c r="E94" s="59"/>
      <c r="F94" s="63">
        <f>B56+IF(B15="yes",B$14,0)</f>
        <v>1E-3</v>
      </c>
      <c r="G94" s="63">
        <f>B$60*B88</f>
        <v>0</v>
      </c>
      <c r="H94" s="63">
        <f>B$61*C88</f>
        <v>1.4283569047797786E-3</v>
      </c>
      <c r="I94" s="63">
        <f>B$62*D88</f>
        <v>1.4283569047797786E-3</v>
      </c>
      <c r="J94" s="63">
        <f>ABS(F94)+ABS(G94)+ABS(H94)+ABS(I94)</f>
        <v>3.8567138095595569E-3</v>
      </c>
      <c r="K94" s="63">
        <f>SQRT(F94^2+G94^2+H94^2+I94^2)</f>
        <v>2.2539757973110844E-3</v>
      </c>
      <c r="L94" s="63">
        <f>AVERAGE(J94,K94)</f>
        <v>3.0553448034353206E-3</v>
      </c>
      <c r="M94" s="63">
        <f>SQRT((F94^2+G94^2+H94^2+I94^2)/4)</f>
        <v>1.1269878986555422E-3</v>
      </c>
      <c r="N94" s="63">
        <f>AVERAGE(L94,M94)</f>
        <v>2.0911663510454316E-3</v>
      </c>
    </row>
    <row r="95" spans="1:14">
      <c r="A95" s="10" t="s">
        <v>59</v>
      </c>
      <c r="B95" s="63">
        <f>B76+B$79*B89+B$80*C89+B$81*D89</f>
        <v>-1.4992497500625921E-3</v>
      </c>
      <c r="C95" s="63">
        <f>N95</f>
        <v>1.3755841654164325E-3</v>
      </c>
      <c r="D95" s="63"/>
      <c r="E95" s="59"/>
      <c r="F95" s="63">
        <f>B57+IF(B16="yes",B$14,0)</f>
        <v>5.0000000000000001E-4</v>
      </c>
      <c r="G95" s="63">
        <f t="shared" ref="G95:G96" si="4">B$60*B89</f>
        <v>-1.4278569048215167E-3</v>
      </c>
      <c r="H95" s="63">
        <f t="shared" ref="H95:H96" si="5">B$61*C89</f>
        <v>0</v>
      </c>
      <c r="I95" s="63">
        <f t="shared" ref="I95:I96" si="6">B$62*D89</f>
        <v>4.2928564279749135E-4</v>
      </c>
      <c r="J95" s="63">
        <f>ABS(F95)+ABS(G95)+ABS(H95)+ABS(I95)</f>
        <v>2.3571425476190079E-3</v>
      </c>
      <c r="K95" s="63">
        <f>SQRT(F95^2+G95^2+H95^2+I95^2)</f>
        <v>1.5725970570233613E-3</v>
      </c>
      <c r="L95" s="63">
        <f t="shared" ref="L95:L96" si="7">AVERAGE(J95,K95)</f>
        <v>1.9648698023211845E-3</v>
      </c>
      <c r="M95" s="63">
        <f>SQRT((F95^2+G95^2+H95^2+I95^2)/4)</f>
        <v>7.8629852851168065E-4</v>
      </c>
      <c r="N95" s="63">
        <f t="shared" ref="N95:N96" si="8">AVERAGE(L95,M95)</f>
        <v>1.3755841654164325E-3</v>
      </c>
    </row>
    <row r="96" spans="1:14">
      <c r="A96" s="10" t="s">
        <v>60</v>
      </c>
      <c r="B96" s="63">
        <f>B77+B$79*B90+B$80*C90+B$81*D90</f>
        <v>-1.7339297319222699E-3</v>
      </c>
      <c r="C96" s="63">
        <f>N96</f>
        <v>1.3765899087360399E-3</v>
      </c>
      <c r="D96" s="63"/>
      <c r="E96" s="59"/>
      <c r="F96" s="63">
        <f>B58+IF(B17="yes",B$14,0)</f>
        <v>5.0000000000000001E-4</v>
      </c>
      <c r="G96" s="63">
        <f t="shared" si="4"/>
        <v>-1.4292854761307643E-3</v>
      </c>
      <c r="H96" s="63">
        <f t="shared" si="5"/>
        <v>-4.2928564279749135E-4</v>
      </c>
      <c r="I96" s="63">
        <f t="shared" si="6"/>
        <v>0</v>
      </c>
      <c r="J96" s="63">
        <f>ABS(F96)+ABS(G96)+ABS(H96)+ABS(I96)</f>
        <v>2.3585711189282555E-3</v>
      </c>
      <c r="K96" s="63">
        <f>SQRT(F96^2+G96^2+H96^2+I96^2)</f>
        <v>1.5738942580079518E-3</v>
      </c>
      <c r="L96" s="63">
        <f t="shared" si="7"/>
        <v>1.9662326884681038E-3</v>
      </c>
      <c r="M96" s="63">
        <f>SQRT((F96^2+G96^2+H96^2+I96^2)/4)</f>
        <v>7.8694712900397588E-4</v>
      </c>
      <c r="N96" s="63">
        <f t="shared" si="8"/>
        <v>1.3765899087360399E-3</v>
      </c>
    </row>
    <row r="99" spans="1:10">
      <c r="A99" t="s">
        <v>39</v>
      </c>
    </row>
    <row r="100" spans="1:10">
      <c r="A100" t="s">
        <v>40</v>
      </c>
    </row>
    <row r="101" spans="1:10">
      <c r="A101" t="s">
        <v>42</v>
      </c>
      <c r="B101" s="1">
        <v>1E-3</v>
      </c>
    </row>
    <row r="102" spans="1:10">
      <c r="A102" t="s">
        <v>43</v>
      </c>
      <c r="B102" s="1">
        <v>1E-3</v>
      </c>
    </row>
    <row r="103" spans="1:10">
      <c r="A103" t="s">
        <v>44</v>
      </c>
      <c r="B103" s="1">
        <v>1E-3</v>
      </c>
    </row>
    <row r="104" spans="1:10">
      <c r="A104" t="s">
        <v>5</v>
      </c>
    </row>
    <row r="105" spans="1:10">
      <c r="A105" t="s">
        <v>6</v>
      </c>
      <c r="B105" s="38">
        <f>D10</f>
        <v>-6</v>
      </c>
      <c r="C105" s="18"/>
      <c r="D105" s="18"/>
      <c r="E105" s="18"/>
      <c r="F105" s="18"/>
      <c r="G105" s="18"/>
      <c r="H105" s="18"/>
      <c r="I105" s="18"/>
      <c r="J105" s="18"/>
    </row>
    <row r="106" spans="1:10">
      <c r="A106" t="s">
        <v>7</v>
      </c>
      <c r="B106" s="38">
        <f>D11</f>
        <v>20</v>
      </c>
      <c r="C106" s="18"/>
      <c r="D106" s="18"/>
      <c r="E106" s="18"/>
      <c r="F106" s="18"/>
      <c r="G106" s="18"/>
      <c r="H106" s="18"/>
      <c r="I106" s="18"/>
      <c r="J106" s="18"/>
    </row>
    <row r="107" spans="1:10">
      <c r="A107" t="s">
        <v>8</v>
      </c>
      <c r="B107" s="38">
        <f>D12</f>
        <v>-20</v>
      </c>
      <c r="C107" s="18"/>
      <c r="D107" s="18"/>
      <c r="E107" s="18"/>
      <c r="F107" s="18"/>
      <c r="G107" s="18"/>
      <c r="H107" s="18"/>
      <c r="I107" s="18"/>
      <c r="J107" s="18"/>
    </row>
    <row r="108" spans="1:10">
      <c r="B108" s="38">
        <v>1</v>
      </c>
      <c r="C108" s="18"/>
      <c r="D108" s="18"/>
      <c r="E108" s="18"/>
      <c r="F108" s="18"/>
      <c r="G108" s="8" t="s">
        <v>45</v>
      </c>
      <c r="H108" s="18"/>
      <c r="I108" s="18"/>
      <c r="J108" s="18"/>
    </row>
    <row r="109" spans="1:10">
      <c r="B109" s="67" t="s">
        <v>3</v>
      </c>
      <c r="C109" s="67"/>
      <c r="D109" s="67"/>
      <c r="E109" s="67"/>
      <c r="F109" s="18"/>
      <c r="G109" s="18"/>
      <c r="H109" s="12" t="s">
        <v>12</v>
      </c>
      <c r="I109" s="12" t="s">
        <v>13</v>
      </c>
      <c r="J109" s="12" t="s">
        <v>14</v>
      </c>
    </row>
    <row r="110" spans="1:10">
      <c r="B110" s="36">
        <v>1</v>
      </c>
      <c r="C110" s="27">
        <v>0</v>
      </c>
      <c r="D110" s="27">
        <v>0</v>
      </c>
      <c r="E110" s="37">
        <v>0</v>
      </c>
      <c r="F110" s="18"/>
      <c r="G110" s="27" t="s">
        <v>9</v>
      </c>
      <c r="H110" s="38">
        <f t="array" ref="H110:H113">MMULT(B110:E113,B105:B108)</f>
        <v>-6</v>
      </c>
      <c r="I110" s="31">
        <f>D10-H110</f>
        <v>0</v>
      </c>
      <c r="J110" s="39">
        <f>I110/B101</f>
        <v>0</v>
      </c>
    </row>
    <row r="111" spans="1:10">
      <c r="B111" s="36">
        <v>0</v>
      </c>
      <c r="C111" s="27">
        <f>COS(B101)</f>
        <v>0.99999950000004167</v>
      </c>
      <c r="D111" s="27">
        <f>-SIN(B101)</f>
        <v>-9.9999983333334168E-4</v>
      </c>
      <c r="E111" s="37">
        <v>0</v>
      </c>
      <c r="F111" s="18"/>
      <c r="G111" s="27" t="s">
        <v>10</v>
      </c>
      <c r="H111" s="38">
        <v>20.019989996667501</v>
      </c>
      <c r="I111" s="31">
        <f>D11-H111</f>
        <v>-1.9989996667501231E-2</v>
      </c>
      <c r="J111" s="39">
        <f>I111/B101</f>
        <v>-19.989996667501231</v>
      </c>
    </row>
    <row r="112" spans="1:10">
      <c r="B112" s="36">
        <v>0</v>
      </c>
      <c r="C112" s="27">
        <f>SIN(B101)</f>
        <v>9.9999983333334168E-4</v>
      </c>
      <c r="D112" s="27">
        <f>C111</f>
        <v>0.99999950000004167</v>
      </c>
      <c r="E112" s="37">
        <v>0</v>
      </c>
      <c r="F112" s="18"/>
      <c r="G112" s="27" t="s">
        <v>11</v>
      </c>
      <c r="H112" s="38">
        <v>-19.979990003334169</v>
      </c>
      <c r="I112" s="31">
        <f>D12-H112</f>
        <v>-2.0009996665830698E-2</v>
      </c>
      <c r="J112" s="39">
        <f>I112/B101</f>
        <v>-20.009996665830698</v>
      </c>
    </row>
    <row r="113" spans="2:10">
      <c r="B113" s="36">
        <v>0</v>
      </c>
      <c r="C113" s="27">
        <v>0</v>
      </c>
      <c r="D113" s="27">
        <v>0</v>
      </c>
      <c r="E113" s="37">
        <v>1</v>
      </c>
      <c r="F113" s="18"/>
      <c r="G113" s="27"/>
      <c r="H113" s="38">
        <v>1</v>
      </c>
      <c r="I113" s="31"/>
      <c r="J113" s="27"/>
    </row>
    <row r="114" spans="2:10">
      <c r="B114" s="18"/>
      <c r="C114" s="18"/>
      <c r="D114" s="18"/>
      <c r="E114" s="18"/>
      <c r="F114" s="18"/>
      <c r="G114" s="8" t="s">
        <v>46</v>
      </c>
      <c r="H114" s="8"/>
      <c r="I114" s="8"/>
      <c r="J114" s="8"/>
    </row>
    <row r="115" spans="2:10">
      <c r="B115" s="67" t="s">
        <v>2</v>
      </c>
      <c r="C115" s="67"/>
      <c r="D115" s="67"/>
      <c r="E115" s="67"/>
      <c r="F115" s="18"/>
      <c r="G115" s="8"/>
      <c r="H115" s="12" t="s">
        <v>12</v>
      </c>
      <c r="I115" s="12" t="s">
        <v>13</v>
      </c>
      <c r="J115" s="12" t="s">
        <v>14</v>
      </c>
    </row>
    <row r="116" spans="2:10">
      <c r="B116" s="36">
        <f>COS(B102)</f>
        <v>0.99999950000004167</v>
      </c>
      <c r="C116" s="27">
        <v>0</v>
      </c>
      <c r="D116" s="27">
        <f>SIN(B102)</f>
        <v>9.9999983333334168E-4</v>
      </c>
      <c r="E116" s="37">
        <v>0</v>
      </c>
      <c r="F116" s="18"/>
      <c r="G116" s="27" t="s">
        <v>9</v>
      </c>
      <c r="H116" s="38">
        <f t="array" ref="H116:H119">MMULT(B116:E119,B105:B108)</f>
        <v>-6.0199969966669169</v>
      </c>
      <c r="I116" s="31">
        <f>D10-H116</f>
        <v>1.99969966669169E-2</v>
      </c>
      <c r="J116" s="39">
        <f>I116/B102</f>
        <v>19.9969966669169</v>
      </c>
    </row>
    <row r="117" spans="2:10">
      <c r="B117" s="36">
        <v>0</v>
      </c>
      <c r="C117" s="27">
        <v>1</v>
      </c>
      <c r="D117" s="27">
        <v>0</v>
      </c>
      <c r="E117" s="37">
        <v>0</v>
      </c>
      <c r="F117" s="18"/>
      <c r="G117" s="27" t="s">
        <v>10</v>
      </c>
      <c r="H117" s="38">
        <v>20</v>
      </c>
      <c r="I117" s="31">
        <f>D11-H117</f>
        <v>0</v>
      </c>
      <c r="J117" s="39">
        <f>I117/B102</f>
        <v>0</v>
      </c>
    </row>
    <row r="118" spans="2:10">
      <c r="B118" s="36">
        <f>-SIN(B102)</f>
        <v>-9.9999983333334168E-4</v>
      </c>
      <c r="C118" s="27">
        <v>0</v>
      </c>
      <c r="D118" s="27">
        <f>B116</f>
        <v>0.99999950000004167</v>
      </c>
      <c r="E118" s="37">
        <v>0</v>
      </c>
      <c r="F118" s="18"/>
      <c r="G118" s="27" t="s">
        <v>11</v>
      </c>
      <c r="H118" s="38">
        <v>-19.993990001000835</v>
      </c>
      <c r="I118" s="31">
        <f>D12-H118</f>
        <v>-6.0099989991648783E-3</v>
      </c>
      <c r="J118" s="39">
        <f>I118/B102</f>
        <v>-6.0099989991648783</v>
      </c>
    </row>
    <row r="119" spans="2:10">
      <c r="B119" s="36">
        <v>0</v>
      </c>
      <c r="C119" s="27">
        <v>0</v>
      </c>
      <c r="D119" s="27">
        <v>0</v>
      </c>
      <c r="E119" s="37">
        <v>1</v>
      </c>
      <c r="F119" s="18"/>
      <c r="G119" s="27"/>
      <c r="H119" s="38">
        <v>1</v>
      </c>
      <c r="I119" s="27"/>
      <c r="J119" s="27"/>
    </row>
    <row r="120" spans="2:10">
      <c r="B120" s="18"/>
      <c r="C120" s="18"/>
      <c r="D120" s="18"/>
      <c r="E120" s="18"/>
      <c r="F120" s="18"/>
      <c r="G120" s="8" t="s">
        <v>47</v>
      </c>
      <c r="H120" s="8"/>
      <c r="I120" s="8"/>
      <c r="J120" s="8"/>
    </row>
    <row r="121" spans="2:10">
      <c r="B121" s="67" t="s">
        <v>4</v>
      </c>
      <c r="C121" s="67"/>
      <c r="D121" s="67"/>
      <c r="E121" s="67"/>
      <c r="F121" s="18"/>
      <c r="G121" s="8"/>
      <c r="H121" s="12" t="s">
        <v>12</v>
      </c>
      <c r="I121" s="12" t="s">
        <v>13</v>
      </c>
      <c r="J121" s="12" t="s">
        <v>14</v>
      </c>
    </row>
    <row r="122" spans="2:10">
      <c r="B122" s="36">
        <f>COS(B103)</f>
        <v>0.99999950000004167</v>
      </c>
      <c r="C122" s="27">
        <f>-SIN(B103)</f>
        <v>-9.9999983333334168E-4</v>
      </c>
      <c r="D122" s="27">
        <v>0</v>
      </c>
      <c r="E122" s="37">
        <v>0</v>
      </c>
      <c r="F122" s="18"/>
      <c r="G122" s="27" t="s">
        <v>9</v>
      </c>
      <c r="H122" s="38">
        <f t="array" ref="H122:H125">MMULT(B122:E125,B105:B108)</f>
        <v>-6.0199969966669169</v>
      </c>
      <c r="I122" s="31">
        <f>D10-H122</f>
        <v>1.99969966669169E-2</v>
      </c>
      <c r="J122" s="39">
        <f>I122/B103</f>
        <v>19.9969966669169</v>
      </c>
    </row>
    <row r="123" spans="2:10">
      <c r="B123" s="36">
        <f>SIN(B103)</f>
        <v>9.9999983333334168E-4</v>
      </c>
      <c r="C123" s="27">
        <f>B122</f>
        <v>0.99999950000004167</v>
      </c>
      <c r="D123" s="27">
        <v>0</v>
      </c>
      <c r="E123" s="37">
        <v>0</v>
      </c>
      <c r="F123" s="18"/>
      <c r="G123" s="27" t="s">
        <v>10</v>
      </c>
      <c r="H123" s="38">
        <v>19.993990001000835</v>
      </c>
      <c r="I123" s="31">
        <f>D11-H123</f>
        <v>6.0099989991648783E-3</v>
      </c>
      <c r="J123" s="39">
        <f>I123/B103</f>
        <v>6.0099989991648783</v>
      </c>
    </row>
    <row r="124" spans="2:10">
      <c r="B124" s="36">
        <v>0</v>
      </c>
      <c r="C124" s="27">
        <v>0</v>
      </c>
      <c r="D124" s="27">
        <v>1</v>
      </c>
      <c r="E124" s="37">
        <v>0</v>
      </c>
      <c r="F124" s="18"/>
      <c r="G124" s="27" t="s">
        <v>11</v>
      </c>
      <c r="H124" s="38">
        <v>-20</v>
      </c>
      <c r="I124" s="31">
        <f>D12-H124</f>
        <v>0</v>
      </c>
      <c r="J124" s="39">
        <f>I124/B103</f>
        <v>0</v>
      </c>
    </row>
    <row r="125" spans="2:10">
      <c r="B125" s="36">
        <v>0</v>
      </c>
      <c r="C125" s="27">
        <v>0</v>
      </c>
      <c r="D125" s="27">
        <v>0</v>
      </c>
      <c r="E125" s="37">
        <v>1</v>
      </c>
      <c r="F125" s="18"/>
      <c r="G125" s="27"/>
      <c r="H125" s="38">
        <v>1</v>
      </c>
      <c r="I125" s="27"/>
      <c r="J125" s="27"/>
    </row>
  </sheetData>
  <mergeCells count="13">
    <mergeCell ref="B121:E121"/>
    <mergeCell ref="A91:D91"/>
    <mergeCell ref="B92:B93"/>
    <mergeCell ref="F92:I92"/>
    <mergeCell ref="J92:N92"/>
    <mergeCell ref="B109:E109"/>
    <mergeCell ref="B115:E115"/>
    <mergeCell ref="A6:B6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5"/>
  <sheetViews>
    <sheetView topLeftCell="A72" workbookViewId="0">
      <selection activeCell="B94" sqref="B94:N96"/>
    </sheetView>
  </sheetViews>
  <sheetFormatPr baseColWidth="10" defaultRowHeight="16"/>
  <cols>
    <col min="1" max="1" width="43.5" customWidth="1"/>
    <col min="2" max="2" width="15.1640625" customWidth="1"/>
    <col min="3" max="3" width="13" customWidth="1"/>
    <col min="8" max="8" width="13" customWidth="1"/>
    <col min="12" max="12" width="15.5" customWidth="1"/>
    <col min="16" max="16" width="14.6640625" customWidth="1"/>
  </cols>
  <sheetData>
    <row r="1" spans="1:8">
      <c r="A1" s="68" t="s">
        <v>41</v>
      </c>
      <c r="B1" s="69"/>
    </row>
    <row r="2" spans="1:8">
      <c r="A2" s="70" t="s">
        <v>0</v>
      </c>
      <c r="B2" s="71"/>
    </row>
    <row r="3" spans="1:8">
      <c r="A3" s="72" t="s">
        <v>157</v>
      </c>
      <c r="B3" s="73"/>
    </row>
    <row r="4" spans="1:8">
      <c r="A4" s="72" t="s">
        <v>93</v>
      </c>
      <c r="B4" s="73"/>
    </row>
    <row r="5" spans="1:8">
      <c r="A5" s="74" t="s">
        <v>137</v>
      </c>
      <c r="B5" s="75"/>
    </row>
    <row r="6" spans="1:8">
      <c r="A6" s="74" t="s">
        <v>138</v>
      </c>
      <c r="B6" s="75"/>
    </row>
    <row r="7" spans="1:8">
      <c r="A7" s="32" t="s">
        <v>135</v>
      </c>
      <c r="B7" s="33">
        <v>4</v>
      </c>
    </row>
    <row r="8" spans="1:8">
      <c r="A8" s="56" t="s">
        <v>136</v>
      </c>
      <c r="B8" s="35" t="s">
        <v>214</v>
      </c>
    </row>
    <row r="9" spans="1:8">
      <c r="A9" t="s">
        <v>143</v>
      </c>
      <c r="D9" s="44" t="s">
        <v>188</v>
      </c>
      <c r="E9" s="45"/>
      <c r="F9" s="46"/>
      <c r="G9" s="46"/>
      <c r="H9" s="47"/>
    </row>
    <row r="10" spans="1:8">
      <c r="A10" s="5" t="s">
        <v>189</v>
      </c>
      <c r="B10" s="1">
        <v>0</v>
      </c>
      <c r="D10" s="23">
        <f>B10+'Axis 3'!D10</f>
        <v>-6</v>
      </c>
      <c r="E10" s="48" t="s">
        <v>144</v>
      </c>
      <c r="F10" s="49"/>
      <c r="G10" s="49"/>
      <c r="H10" s="9"/>
    </row>
    <row r="11" spans="1:8">
      <c r="A11" s="5" t="s">
        <v>190</v>
      </c>
      <c r="B11" s="1">
        <v>3</v>
      </c>
      <c r="D11" s="23">
        <f>B11+'Axis 3'!D11</f>
        <v>23</v>
      </c>
      <c r="E11" s="48" t="s">
        <v>145</v>
      </c>
      <c r="F11" s="49"/>
      <c r="G11" s="49"/>
      <c r="H11" s="9"/>
    </row>
    <row r="12" spans="1:8">
      <c r="A12" s="5" t="s">
        <v>191</v>
      </c>
      <c r="B12" s="1">
        <v>0</v>
      </c>
      <c r="D12" s="23">
        <f>B12+'Axis 3'!D12</f>
        <v>-20</v>
      </c>
      <c r="E12" s="51" t="s">
        <v>146</v>
      </c>
      <c r="F12" s="52"/>
      <c r="G12" s="52"/>
      <c r="H12" s="53"/>
    </row>
    <row r="13" spans="1:8">
      <c r="A13" s="6" t="s">
        <v>176</v>
      </c>
      <c r="B13" s="18"/>
      <c r="C13" s="5"/>
      <c r="D13" s="18"/>
    </row>
    <row r="14" spans="1:8">
      <c r="A14" s="5" t="s">
        <v>180</v>
      </c>
      <c r="B14" s="19">
        <v>1E-3</v>
      </c>
      <c r="C14" s="5"/>
      <c r="D14" s="18"/>
    </row>
    <row r="15" spans="1:8">
      <c r="A15" s="5" t="s">
        <v>177</v>
      </c>
      <c r="B15" s="26" t="s">
        <v>151</v>
      </c>
      <c r="C15" s="5"/>
      <c r="D15" s="18"/>
    </row>
    <row r="16" spans="1:8">
      <c r="A16" s="5" t="s">
        <v>178</v>
      </c>
      <c r="B16" s="26" t="s">
        <v>151</v>
      </c>
      <c r="C16" s="5"/>
      <c r="D16" s="18"/>
    </row>
    <row r="17" spans="1:9">
      <c r="A17" s="5" t="s">
        <v>179</v>
      </c>
      <c r="B17" s="26" t="s">
        <v>151</v>
      </c>
      <c r="C17" s="5"/>
      <c r="D17" s="18"/>
    </row>
    <row r="18" spans="1:9">
      <c r="A18" s="6" t="s">
        <v>212</v>
      </c>
      <c r="B18" s="1"/>
      <c r="C18" s="16" t="s">
        <v>205</v>
      </c>
    </row>
    <row r="19" spans="1:9">
      <c r="A19" s="5" t="s">
        <v>48</v>
      </c>
      <c r="B19" s="1"/>
      <c r="C19" s="5" t="s">
        <v>48</v>
      </c>
    </row>
    <row r="20" spans="1:9">
      <c r="A20" s="7" t="s">
        <v>95</v>
      </c>
      <c r="B20" s="18">
        <f>'Axis 3'!B28</f>
        <v>0</v>
      </c>
      <c r="C20" s="7" t="s">
        <v>206</v>
      </c>
      <c r="D20" s="1">
        <v>0</v>
      </c>
      <c r="E20" s="54"/>
      <c r="F20" s="54"/>
      <c r="G20" s="54"/>
      <c r="H20" s="54"/>
      <c r="I20" s="54"/>
    </row>
    <row r="21" spans="1:9">
      <c r="A21" s="7" t="s">
        <v>96</v>
      </c>
      <c r="B21" s="18">
        <f>'Axis 3'!B29</f>
        <v>0</v>
      </c>
      <c r="C21" s="7" t="s">
        <v>207</v>
      </c>
      <c r="D21" s="1">
        <v>0</v>
      </c>
      <c r="E21" s="54"/>
      <c r="F21" s="54"/>
      <c r="G21" s="54"/>
      <c r="H21" s="54"/>
      <c r="I21" s="54"/>
    </row>
    <row r="22" spans="1:9">
      <c r="A22" s="7" t="s">
        <v>97</v>
      </c>
      <c r="B22" s="18">
        <f>'Axis 3'!B30</f>
        <v>-200</v>
      </c>
      <c r="C22" s="7" t="s">
        <v>208</v>
      </c>
      <c r="D22" s="1">
        <v>0</v>
      </c>
      <c r="E22" s="54"/>
      <c r="F22" s="54"/>
      <c r="G22" s="54"/>
      <c r="H22" s="54"/>
      <c r="I22" s="54"/>
    </row>
    <row r="23" spans="1:9">
      <c r="A23" s="5" t="s">
        <v>49</v>
      </c>
      <c r="B23" s="18"/>
      <c r="C23" s="5" t="s">
        <v>49</v>
      </c>
      <c r="D23" s="1"/>
      <c r="E23" s="54"/>
      <c r="F23" s="54"/>
      <c r="G23" s="54"/>
      <c r="H23" s="54"/>
      <c r="I23" s="54"/>
    </row>
    <row r="24" spans="1:9">
      <c r="A24" s="7" t="s">
        <v>98</v>
      </c>
      <c r="B24" s="18">
        <f>'Axis 3'!B31</f>
        <v>1500</v>
      </c>
      <c r="C24" s="7" t="s">
        <v>209</v>
      </c>
      <c r="D24" s="1">
        <v>0</v>
      </c>
      <c r="E24" s="54"/>
      <c r="F24" s="54"/>
      <c r="G24" s="54"/>
      <c r="H24" s="54"/>
      <c r="I24" s="54"/>
    </row>
    <row r="25" spans="1:9">
      <c r="A25" s="7" t="s">
        <v>99</v>
      </c>
      <c r="B25" s="18">
        <f>'Axis 3'!B32</f>
        <v>360</v>
      </c>
      <c r="C25" s="7" t="s">
        <v>210</v>
      </c>
      <c r="D25" s="1">
        <v>0</v>
      </c>
      <c r="E25" s="54"/>
      <c r="F25" s="54"/>
      <c r="G25" s="54"/>
      <c r="H25" s="54"/>
      <c r="I25" s="54"/>
    </row>
    <row r="26" spans="1:9">
      <c r="A26" s="7" t="s">
        <v>100</v>
      </c>
      <c r="B26" s="18">
        <f>'Axis 3'!B33</f>
        <v>0</v>
      </c>
      <c r="C26" s="7" t="s">
        <v>211</v>
      </c>
      <c r="D26" s="1">
        <v>0</v>
      </c>
      <c r="E26" s="54"/>
      <c r="F26" s="54"/>
      <c r="G26" s="54"/>
      <c r="H26" s="54"/>
      <c r="I26" s="54"/>
    </row>
    <row r="27" spans="1:9">
      <c r="A27" s="6" t="s">
        <v>26</v>
      </c>
      <c r="B27" s="1"/>
    </row>
    <row r="28" spans="1:9">
      <c r="A28" s="5" t="s">
        <v>101</v>
      </c>
      <c r="B28" s="43">
        <f>B20+D20</f>
        <v>0</v>
      </c>
      <c r="C28" s="29" t="s">
        <v>199</v>
      </c>
    </row>
    <row r="29" spans="1:9">
      <c r="A29" s="5" t="s">
        <v>102</v>
      </c>
      <c r="B29" s="43">
        <f>B21+D21</f>
        <v>0</v>
      </c>
      <c r="C29" s="29" t="s">
        <v>200</v>
      </c>
    </row>
    <row r="30" spans="1:9">
      <c r="A30" s="5" t="s">
        <v>103</v>
      </c>
      <c r="B30" s="43">
        <f>B22+D22</f>
        <v>-200</v>
      </c>
      <c r="C30" s="29" t="s">
        <v>201</v>
      </c>
    </row>
    <row r="31" spans="1:9">
      <c r="A31" s="5" t="s">
        <v>104</v>
      </c>
      <c r="B31" s="43">
        <f>B21*B12-B22*B11+B24+D24</f>
        <v>2100</v>
      </c>
      <c r="C31" s="29" t="s">
        <v>202</v>
      </c>
    </row>
    <row r="32" spans="1:9">
      <c r="A32" s="5" t="s">
        <v>105</v>
      </c>
      <c r="B32" s="43">
        <f>B22*D10-B20*D12+B25+D25</f>
        <v>1560</v>
      </c>
      <c r="C32" s="29" t="s">
        <v>203</v>
      </c>
    </row>
    <row r="33" spans="1:12">
      <c r="A33" s="5" t="s">
        <v>106</v>
      </c>
      <c r="B33" s="43">
        <f>B20*D11-B21*D10+B26+D26</f>
        <v>0</v>
      </c>
      <c r="C33" s="29" t="s">
        <v>204</v>
      </c>
    </row>
    <row r="34" spans="1:12">
      <c r="A34" t="s">
        <v>1</v>
      </c>
      <c r="B34" s="1"/>
    </row>
    <row r="35" spans="1:12">
      <c r="A35" s="5" t="s">
        <v>166</v>
      </c>
      <c r="B35" t="s">
        <v>167</v>
      </c>
    </row>
    <row r="36" spans="1:12">
      <c r="A36" s="10" t="s">
        <v>158</v>
      </c>
      <c r="B36" s="55" t="s">
        <v>169</v>
      </c>
      <c r="C36" s="55" t="s">
        <v>168</v>
      </c>
      <c r="D36" s="55" t="s">
        <v>170</v>
      </c>
    </row>
    <row r="37" spans="1:12">
      <c r="A37">
        <v>1</v>
      </c>
      <c r="B37" s="1">
        <v>1</v>
      </c>
      <c r="C37" s="1">
        <v>1</v>
      </c>
      <c r="D37" s="1">
        <v>0</v>
      </c>
    </row>
    <row r="38" spans="1:12">
      <c r="A38">
        <v>2</v>
      </c>
      <c r="B38" s="1">
        <v>1</v>
      </c>
      <c r="C38" s="1">
        <v>-1</v>
      </c>
      <c r="D38" s="1">
        <v>0</v>
      </c>
    </row>
    <row r="39" spans="1:12">
      <c r="A39">
        <v>3</v>
      </c>
      <c r="B39" s="1">
        <v>-1</v>
      </c>
      <c r="C39" s="1">
        <v>-1</v>
      </c>
      <c r="D39" s="1">
        <v>0</v>
      </c>
    </row>
    <row r="40" spans="1:12">
      <c r="A40">
        <v>4</v>
      </c>
      <c r="B40" s="1">
        <v>-1</v>
      </c>
      <c r="C40" s="1">
        <v>1</v>
      </c>
      <c r="D40" s="1">
        <v>0</v>
      </c>
    </row>
    <row r="41" spans="1:12">
      <c r="A41" s="5" t="s">
        <v>30</v>
      </c>
    </row>
    <row r="42" spans="1:12">
      <c r="A42" s="5"/>
      <c r="B42" t="s">
        <v>162</v>
      </c>
    </row>
    <row r="43" spans="1:12">
      <c r="B43" s="42" t="str">
        <f>B15</f>
        <v>no</v>
      </c>
      <c r="C43" s="42" t="str">
        <f>B16</f>
        <v>no</v>
      </c>
      <c r="D43" s="42" t="str">
        <f>B17</f>
        <v>no</v>
      </c>
    </row>
    <row r="44" spans="1:12">
      <c r="A44" s="10" t="s">
        <v>158</v>
      </c>
      <c r="B44" s="55" t="s">
        <v>159</v>
      </c>
      <c r="C44" s="55" t="s">
        <v>160</v>
      </c>
      <c r="D44" s="55" t="s">
        <v>161</v>
      </c>
      <c r="E44" s="55" t="s">
        <v>163</v>
      </c>
      <c r="F44" s="55" t="s">
        <v>164</v>
      </c>
      <c r="G44" s="55" t="s">
        <v>165</v>
      </c>
    </row>
    <row r="45" spans="1:12">
      <c r="A45">
        <v>1</v>
      </c>
      <c r="B45" s="1">
        <v>100000</v>
      </c>
      <c r="C45" s="1">
        <v>100000</v>
      </c>
      <c r="D45" s="1">
        <v>100000</v>
      </c>
      <c r="E45" s="1">
        <v>1000000</v>
      </c>
      <c r="F45" s="1">
        <v>1000000</v>
      </c>
      <c r="G45" s="1">
        <v>1000000</v>
      </c>
      <c r="H45" s="57" t="s">
        <v>220</v>
      </c>
      <c r="I45" s="57"/>
      <c r="J45" s="57"/>
      <c r="K45" s="57"/>
      <c r="L45" s="57"/>
    </row>
    <row r="46" spans="1:12">
      <c r="A46">
        <v>2</v>
      </c>
      <c r="B46" s="1">
        <v>100000</v>
      </c>
      <c r="C46" s="1">
        <v>100000</v>
      </c>
      <c r="D46" s="1">
        <v>100000</v>
      </c>
      <c r="E46" s="1">
        <v>1000000</v>
      </c>
      <c r="F46" s="1">
        <v>1000000</v>
      </c>
      <c r="G46" s="1">
        <v>1000000</v>
      </c>
      <c r="H46" s="57" t="s">
        <v>220</v>
      </c>
      <c r="I46" s="57"/>
      <c r="J46" s="57"/>
      <c r="K46" s="57"/>
      <c r="L46" s="57"/>
    </row>
    <row r="47" spans="1:12">
      <c r="A47">
        <v>3</v>
      </c>
      <c r="B47" s="1">
        <v>100000</v>
      </c>
      <c r="C47" s="1">
        <v>100000</v>
      </c>
      <c r="D47" s="1">
        <v>100000</v>
      </c>
      <c r="E47" s="1">
        <v>1000000</v>
      </c>
      <c r="F47" s="1">
        <v>1000000</v>
      </c>
      <c r="G47" s="1">
        <v>1000000</v>
      </c>
      <c r="H47" s="57" t="s">
        <v>220</v>
      </c>
      <c r="I47" s="57"/>
      <c r="J47" s="57"/>
      <c r="K47" s="57"/>
      <c r="L47" s="57"/>
    </row>
    <row r="48" spans="1:12">
      <c r="A48">
        <v>4</v>
      </c>
      <c r="B48" s="1">
        <v>100000</v>
      </c>
      <c r="C48" s="1">
        <v>100000</v>
      </c>
      <c r="D48" s="1">
        <v>100000</v>
      </c>
      <c r="E48" s="1">
        <v>1000000</v>
      </c>
      <c r="F48" s="1">
        <v>1000000</v>
      </c>
      <c r="G48" s="1">
        <v>1000000</v>
      </c>
      <c r="H48" s="57" t="s">
        <v>220</v>
      </c>
      <c r="I48" s="57"/>
      <c r="J48" s="57"/>
      <c r="K48" s="57"/>
      <c r="L48" s="57"/>
    </row>
    <row r="49" spans="1:7">
      <c r="B49" s="1"/>
      <c r="C49" s="1"/>
      <c r="D49" s="1"/>
      <c r="E49" s="1"/>
      <c r="F49" s="1"/>
      <c r="G49" s="1"/>
    </row>
    <row r="50" spans="1:7">
      <c r="A50" s="5" t="s">
        <v>64</v>
      </c>
      <c r="B50" s="1"/>
      <c r="C50" s="41" t="s">
        <v>152</v>
      </c>
    </row>
    <row r="51" spans="1:7">
      <c r="A51" s="7" t="s">
        <v>171</v>
      </c>
      <c r="B51" s="1">
        <v>0</v>
      </c>
      <c r="C51" s="22" t="str">
        <f>B15</f>
        <v>no</v>
      </c>
    </row>
    <row r="52" spans="1:7">
      <c r="A52" s="7" t="s">
        <v>107</v>
      </c>
      <c r="B52" s="1">
        <v>0</v>
      </c>
      <c r="C52" s="22" t="str">
        <f>B16</f>
        <v>no</v>
      </c>
    </row>
    <row r="53" spans="1:7">
      <c r="A53" s="7" t="s">
        <v>108</v>
      </c>
      <c r="B53" s="1">
        <v>0</v>
      </c>
      <c r="C53" s="22" t="str">
        <f>B17</f>
        <v>no</v>
      </c>
    </row>
    <row r="54" spans="1:7">
      <c r="A54" s="7" t="s">
        <v>70</v>
      </c>
      <c r="B54" s="1"/>
    </row>
    <row r="55" spans="1:7">
      <c r="A55" s="13" t="s">
        <v>37</v>
      </c>
      <c r="B55" s="1"/>
    </row>
    <row r="56" spans="1:7">
      <c r="A56" s="14" t="s">
        <v>109</v>
      </c>
      <c r="B56" s="43">
        <f>B51</f>
        <v>0</v>
      </c>
      <c r="C56" s="60" t="s">
        <v>126</v>
      </c>
    </row>
    <row r="57" spans="1:7">
      <c r="A57" s="14" t="s">
        <v>110</v>
      </c>
      <c r="B57" s="43">
        <f>B52</f>
        <v>0</v>
      </c>
      <c r="C57" s="60" t="s">
        <v>127</v>
      </c>
    </row>
    <row r="58" spans="1:7">
      <c r="A58" s="14" t="s">
        <v>111</v>
      </c>
      <c r="B58" s="43">
        <f>B53</f>
        <v>0</v>
      </c>
      <c r="C58" s="60" t="s">
        <v>128</v>
      </c>
    </row>
    <row r="59" spans="1:7">
      <c r="A59" s="13" t="s">
        <v>38</v>
      </c>
      <c r="B59" s="43"/>
      <c r="C59" s="60"/>
    </row>
    <row r="60" spans="1:7">
      <c r="A60" s="14" t="s">
        <v>112</v>
      </c>
      <c r="B60" s="43">
        <f>IF(ABS(C37)&gt;0,B53/ABS(C37),0)+IF(ABS(D37)&gt;0,B52/ABS(D37),0)</f>
        <v>0</v>
      </c>
      <c r="C60" s="58" t="s">
        <v>173</v>
      </c>
    </row>
    <row r="61" spans="1:7">
      <c r="A61" s="14" t="s">
        <v>113</v>
      </c>
      <c r="B61" s="43">
        <f>IF(ABS(B37)&gt;0,B53/ABS(B37),0)+IF(ABS(D37)&gt;0,B51/ABS(D37),0)</f>
        <v>0</v>
      </c>
      <c r="C61" s="58" t="s">
        <v>174</v>
      </c>
    </row>
    <row r="62" spans="1:7">
      <c r="A62" s="14" t="s">
        <v>114</v>
      </c>
      <c r="B62" s="43">
        <f>IF(ABS(B37)&gt;0,B52/ABS(B37),0)+IF(ABS(C37)&gt;0,B51/ABS(C37),0)</f>
        <v>0</v>
      </c>
      <c r="C62" s="58" t="s">
        <v>181</v>
      </c>
    </row>
    <row r="63" spans="1:7">
      <c r="A63" s="6" t="s">
        <v>18</v>
      </c>
      <c r="B63" s="59"/>
      <c r="C63" s="61"/>
    </row>
    <row r="64" spans="1:7">
      <c r="A64" s="5" t="s">
        <v>22</v>
      </c>
      <c r="B64" s="59"/>
      <c r="C64" s="62" t="s">
        <v>152</v>
      </c>
    </row>
    <row r="65" spans="1:4">
      <c r="A65" s="7" t="s">
        <v>155</v>
      </c>
      <c r="B65" s="59">
        <v>100000</v>
      </c>
      <c r="C65" s="62"/>
    </row>
    <row r="66" spans="1:4">
      <c r="A66" s="7" t="s">
        <v>156</v>
      </c>
      <c r="B66" s="43">
        <f>IF(C66="yes",B65,B45+B46+B47+B48)</f>
        <v>400000</v>
      </c>
      <c r="C66" s="42" t="str">
        <f>C51</f>
        <v>no</v>
      </c>
      <c r="D66" s="29" t="s">
        <v>182</v>
      </c>
    </row>
    <row r="67" spans="1:4">
      <c r="A67" s="7" t="s">
        <v>115</v>
      </c>
      <c r="B67" s="43">
        <f>IF(C67="yes",B65,C45+C46+C47+C48)</f>
        <v>400000</v>
      </c>
      <c r="C67" s="42" t="str">
        <f t="shared" ref="C67:C68" si="0">C52</f>
        <v>no</v>
      </c>
      <c r="D67" s="29" t="s">
        <v>183</v>
      </c>
    </row>
    <row r="68" spans="1:4">
      <c r="A68" s="7" t="s">
        <v>116</v>
      </c>
      <c r="B68" s="43">
        <f>IF(C68="yes",B65,D45+D46+D47+D48)</f>
        <v>400000</v>
      </c>
      <c r="C68" s="42" t="str">
        <f t="shared" si="0"/>
        <v>no</v>
      </c>
      <c r="D68" s="29" t="s">
        <v>184</v>
      </c>
    </row>
    <row r="69" spans="1:4">
      <c r="A69" s="5" t="s">
        <v>21</v>
      </c>
      <c r="B69" s="43"/>
      <c r="C69" s="61"/>
      <c r="D69" s="29"/>
    </row>
    <row r="70" spans="1:4">
      <c r="A70" s="7" t="s">
        <v>117</v>
      </c>
      <c r="B70" s="43">
        <f>D45*C37^2+D46*C38^2+D47*C39^2+D48*C40^2+C45*D37^2+C46*D38^2+C47*D39^2+C48*D40^2+E45+E46+E47+E48</f>
        <v>4400000</v>
      </c>
      <c r="C70" s="61"/>
      <c r="D70" s="29" t="s">
        <v>185</v>
      </c>
    </row>
    <row r="71" spans="1:4">
      <c r="A71" s="7" t="s">
        <v>118</v>
      </c>
      <c r="B71" s="43">
        <f>D45*B37^2+D46*B38^2+D47*B39^2+D48*B40^2+B45*D37^2+B46*D38^2+B47*D39^2+B48*D40^2+F45+F46+F47+F48</f>
        <v>4400000</v>
      </c>
      <c r="C71" s="61"/>
      <c r="D71" s="29" t="s">
        <v>186</v>
      </c>
    </row>
    <row r="72" spans="1:4">
      <c r="A72" s="7" t="s">
        <v>119</v>
      </c>
      <c r="B72" s="43">
        <f>C45*B37^2+C46*B38^2+C47*B39^2+C48*B40^2+B45*C37^2+B46*C38^2+B47*C39^2+B48*C40^2+G45+G46+G47+G48</f>
        <v>4800000</v>
      </c>
      <c r="C72" s="61"/>
      <c r="D72" s="29" t="s">
        <v>187</v>
      </c>
    </row>
    <row r="73" spans="1:4">
      <c r="A73" s="6" t="s">
        <v>74</v>
      </c>
      <c r="B73" s="59"/>
      <c r="C73" s="60"/>
    </row>
    <row r="74" spans="1:4">
      <c r="A74" s="5" t="s">
        <v>37</v>
      </c>
      <c r="B74" s="59"/>
      <c r="C74" s="60"/>
    </row>
    <row r="75" spans="1:4">
      <c r="A75" s="7" t="s">
        <v>120</v>
      </c>
      <c r="B75" s="63">
        <f>B20/B66</f>
        <v>0</v>
      </c>
      <c r="C75" s="64" t="s">
        <v>129</v>
      </c>
    </row>
    <row r="76" spans="1:4">
      <c r="A76" s="7" t="s">
        <v>121</v>
      </c>
      <c r="B76" s="63">
        <f>B21/B67</f>
        <v>0</v>
      </c>
      <c r="C76" s="64" t="s">
        <v>130</v>
      </c>
    </row>
    <row r="77" spans="1:4">
      <c r="A77" s="7" t="s">
        <v>122</v>
      </c>
      <c r="B77" s="63">
        <f>B22/B68</f>
        <v>-5.0000000000000001E-4</v>
      </c>
      <c r="C77" s="64" t="s">
        <v>131</v>
      </c>
    </row>
    <row r="78" spans="1:4">
      <c r="A78" s="5" t="s">
        <v>38</v>
      </c>
      <c r="B78" s="20"/>
      <c r="C78" s="30"/>
    </row>
    <row r="79" spans="1:4">
      <c r="A79" s="7" t="s">
        <v>123</v>
      </c>
      <c r="B79" s="63">
        <f>B31/B70</f>
        <v>4.7727272727272728E-4</v>
      </c>
      <c r="C79" s="30" t="s">
        <v>132</v>
      </c>
    </row>
    <row r="80" spans="1:4">
      <c r="A80" s="7" t="s">
        <v>124</v>
      </c>
      <c r="B80" s="63">
        <f>B32/B71</f>
        <v>3.5454545454545455E-4</v>
      </c>
      <c r="C80" s="30" t="s">
        <v>133</v>
      </c>
    </row>
    <row r="81" spans="1:14">
      <c r="A81" s="7" t="s">
        <v>125</v>
      </c>
      <c r="B81" s="63">
        <f>B33/B72</f>
        <v>0</v>
      </c>
      <c r="C81" s="30" t="s">
        <v>134</v>
      </c>
    </row>
    <row r="82" spans="1:14">
      <c r="A82" s="6"/>
    </row>
    <row r="83" spans="1:14">
      <c r="A83" s="5"/>
      <c r="B83" s="3"/>
    </row>
    <row r="84" spans="1:14">
      <c r="A84" s="5" t="s">
        <v>56</v>
      </c>
      <c r="B84" s="3"/>
    </row>
    <row r="85" spans="1:14">
      <c r="A85" s="5"/>
      <c r="B85" s="3"/>
    </row>
    <row r="86" spans="1:14">
      <c r="A86" s="5" t="s">
        <v>58</v>
      </c>
      <c r="B86" s="4"/>
    </row>
    <row r="87" spans="1:14">
      <c r="A87" s="5"/>
      <c r="B87" s="12" t="s">
        <v>61</v>
      </c>
      <c r="C87" s="55" t="s">
        <v>62</v>
      </c>
      <c r="D87" s="55" t="s">
        <v>63</v>
      </c>
    </row>
    <row r="88" spans="1:14">
      <c r="A88" s="10" t="s">
        <v>57</v>
      </c>
      <c r="B88" s="66">
        <f>J110</f>
        <v>0</v>
      </c>
      <c r="C88" s="66">
        <f>J116</f>
        <v>19.9969966669169</v>
      </c>
      <c r="D88" s="66">
        <f>J122</f>
        <v>22.996996166916972</v>
      </c>
    </row>
    <row r="89" spans="1:14">
      <c r="A89" s="10" t="s">
        <v>59</v>
      </c>
      <c r="B89" s="66">
        <f t="shared" ref="B89:B90" si="1">J111</f>
        <v>-19.98849666762581</v>
      </c>
      <c r="C89" s="66">
        <f t="shared" ref="C89:C90" si="2">J117</f>
        <v>0</v>
      </c>
      <c r="D89" s="66">
        <f t="shared" ref="D89:D90" si="3">J123</f>
        <v>6.0114989990402989</v>
      </c>
    </row>
    <row r="90" spans="1:14">
      <c r="A90" s="10" t="s">
        <v>60</v>
      </c>
      <c r="B90" s="66">
        <f t="shared" si="1"/>
        <v>-23.009996165832547</v>
      </c>
      <c r="C90" s="66">
        <f t="shared" si="2"/>
        <v>-6.0099989991648783</v>
      </c>
      <c r="D90" s="66">
        <f t="shared" si="3"/>
        <v>0</v>
      </c>
    </row>
    <row r="91" spans="1:14">
      <c r="A91" s="67" t="s">
        <v>92</v>
      </c>
      <c r="B91" s="67"/>
      <c r="C91" s="67"/>
      <c r="D91" s="67"/>
    </row>
    <row r="92" spans="1:14">
      <c r="B92" s="76" t="s">
        <v>75</v>
      </c>
      <c r="C92" s="55" t="s">
        <v>83</v>
      </c>
      <c r="D92" s="15"/>
      <c r="F92" s="67" t="s">
        <v>81</v>
      </c>
      <c r="G92" s="67"/>
      <c r="H92" s="67"/>
      <c r="I92" s="67"/>
      <c r="J92" s="67" t="s">
        <v>82</v>
      </c>
      <c r="K92" s="67"/>
      <c r="L92" s="67"/>
      <c r="M92" s="67"/>
      <c r="N92" s="67"/>
    </row>
    <row r="93" spans="1:14">
      <c r="A93" s="10"/>
      <c r="B93" s="76"/>
      <c r="C93" s="55" t="s">
        <v>88</v>
      </c>
      <c r="F93" t="s">
        <v>80</v>
      </c>
      <c r="G93" t="s">
        <v>84</v>
      </c>
      <c r="H93" t="s">
        <v>85</v>
      </c>
      <c r="I93" t="s">
        <v>86</v>
      </c>
      <c r="J93" t="s">
        <v>76</v>
      </c>
      <c r="K93" t="s">
        <v>77</v>
      </c>
      <c r="L93" t="s">
        <v>78</v>
      </c>
      <c r="M93" t="s">
        <v>79</v>
      </c>
      <c r="N93" t="s">
        <v>87</v>
      </c>
    </row>
    <row r="94" spans="1:14">
      <c r="A94" s="10" t="s">
        <v>57</v>
      </c>
      <c r="B94" s="63">
        <f>B75+B$79*B88+B$80*C88+B$81*D88</f>
        <v>7.0898442728159917E-3</v>
      </c>
      <c r="C94" s="63">
        <f>N94</f>
        <v>0</v>
      </c>
      <c r="D94" s="63"/>
      <c r="E94" s="43"/>
      <c r="F94" s="63">
        <f>B56+IF(B15="yes",B$14,0)</f>
        <v>0</v>
      </c>
      <c r="G94" s="63">
        <f>B$60*B88</f>
        <v>0</v>
      </c>
      <c r="H94" s="63">
        <f>B$61*C88</f>
        <v>0</v>
      </c>
      <c r="I94" s="63">
        <f>B$62*D88</f>
        <v>0</v>
      </c>
      <c r="J94" s="63">
        <f>ABS(F94)+ABS(G94)+ABS(H94)+ABS(I94)</f>
        <v>0</v>
      </c>
      <c r="K94" s="63">
        <f>SQRT(F94^2+G94^2+H94^2+I94^2)</f>
        <v>0</v>
      </c>
      <c r="L94" s="63">
        <f>AVERAGE(J94,K94)</f>
        <v>0</v>
      </c>
      <c r="M94" s="63">
        <f>SQRT((F94^2+G94^2+H94^2+I94^2)/4)</f>
        <v>0</v>
      </c>
      <c r="N94" s="63">
        <f>AVERAGE(L94,M94)</f>
        <v>0</v>
      </c>
    </row>
    <row r="95" spans="1:14">
      <c r="A95" s="10" t="s">
        <v>59</v>
      </c>
      <c r="B95" s="63">
        <f>B76+B$79*B89+B$80*C89+B$81*D89</f>
        <v>-9.5399643186395919E-3</v>
      </c>
      <c r="C95" s="63">
        <f>N95</f>
        <v>0</v>
      </c>
      <c r="D95" s="63"/>
      <c r="E95" s="43"/>
      <c r="F95" s="63">
        <f>B57+IF(B16="yes",B$14,0)</f>
        <v>0</v>
      </c>
      <c r="G95" s="63">
        <f t="shared" ref="G95:G96" si="4">B$60*B89</f>
        <v>0</v>
      </c>
      <c r="H95" s="63">
        <f t="shared" ref="H95:H96" si="5">B$61*C89</f>
        <v>0</v>
      </c>
      <c r="I95" s="63">
        <f t="shared" ref="I95:I96" si="6">B$62*D89</f>
        <v>0</v>
      </c>
      <c r="J95" s="63">
        <f>ABS(F95)+ABS(G95)+ABS(H95)+ABS(I95)</f>
        <v>0</v>
      </c>
      <c r="K95" s="63">
        <f>SQRT(F95^2+G95^2+H95^2+I95^2)</f>
        <v>0</v>
      </c>
      <c r="L95" s="63">
        <f t="shared" ref="L95:L96" si="7">AVERAGE(J95,K95)</f>
        <v>0</v>
      </c>
      <c r="M95" s="63">
        <f>SQRT((F95^2+G95^2+H95^2+I95^2)/4)</f>
        <v>0</v>
      </c>
      <c r="N95" s="63">
        <f t="shared" ref="N95:N96" si="8">AVERAGE(L95,M95)</f>
        <v>0</v>
      </c>
    </row>
    <row r="96" spans="1:14">
      <c r="A96" s="10" t="s">
        <v>60</v>
      </c>
      <c r="B96" s="63">
        <f>B77+B$79*B90+B$80*C90+B$81*D90</f>
        <v>-1.3612861451578537E-2</v>
      </c>
      <c r="C96" s="63">
        <f>N96</f>
        <v>0</v>
      </c>
      <c r="D96" s="63"/>
      <c r="E96" s="43"/>
      <c r="F96" s="63">
        <f>B58+IF(B17="yes",B$14,0)</f>
        <v>0</v>
      </c>
      <c r="G96" s="63">
        <f t="shared" si="4"/>
        <v>0</v>
      </c>
      <c r="H96" s="63">
        <f t="shared" si="5"/>
        <v>0</v>
      </c>
      <c r="I96" s="63">
        <f t="shared" si="6"/>
        <v>0</v>
      </c>
      <c r="J96" s="63">
        <f>ABS(F96)+ABS(G96)+ABS(H96)+ABS(I96)</f>
        <v>0</v>
      </c>
      <c r="K96" s="63">
        <f>SQRT(F96^2+G96^2+H96^2+I96^2)</f>
        <v>0</v>
      </c>
      <c r="L96" s="63">
        <f t="shared" si="7"/>
        <v>0</v>
      </c>
      <c r="M96" s="63">
        <f>SQRT((F96^2+G96^2+H96^2+I96^2)/4)</f>
        <v>0</v>
      </c>
      <c r="N96" s="63">
        <f t="shared" si="8"/>
        <v>0</v>
      </c>
    </row>
    <row r="99" spans="1:10">
      <c r="A99" t="s">
        <v>39</v>
      </c>
    </row>
    <row r="100" spans="1:10">
      <c r="A100" t="s">
        <v>40</v>
      </c>
    </row>
    <row r="101" spans="1:10">
      <c r="A101" t="s">
        <v>42</v>
      </c>
      <c r="B101" s="1">
        <v>1E-3</v>
      </c>
    </row>
    <row r="102" spans="1:10">
      <c r="A102" t="s">
        <v>43</v>
      </c>
      <c r="B102" s="1">
        <v>1E-3</v>
      </c>
    </row>
    <row r="103" spans="1:10">
      <c r="A103" t="s">
        <v>44</v>
      </c>
      <c r="B103" s="1">
        <v>1E-3</v>
      </c>
    </row>
    <row r="104" spans="1:10">
      <c r="A104" t="s">
        <v>5</v>
      </c>
    </row>
    <row r="105" spans="1:10">
      <c r="A105" t="s">
        <v>6</v>
      </c>
      <c r="B105" s="38">
        <f>D10</f>
        <v>-6</v>
      </c>
      <c r="C105" s="18"/>
      <c r="D105" s="18"/>
      <c r="E105" s="18"/>
      <c r="F105" s="18"/>
      <c r="G105" s="18"/>
      <c r="H105" s="18"/>
      <c r="I105" s="18"/>
      <c r="J105" s="18"/>
    </row>
    <row r="106" spans="1:10">
      <c r="A106" t="s">
        <v>7</v>
      </c>
      <c r="B106" s="38">
        <f>D11</f>
        <v>23</v>
      </c>
      <c r="C106" s="18"/>
      <c r="D106" s="18"/>
      <c r="E106" s="18"/>
      <c r="F106" s="18"/>
      <c r="G106" s="18"/>
      <c r="H106" s="18"/>
      <c r="I106" s="18"/>
      <c r="J106" s="18"/>
    </row>
    <row r="107" spans="1:10">
      <c r="A107" t="s">
        <v>8</v>
      </c>
      <c r="B107" s="38">
        <f>D12</f>
        <v>-20</v>
      </c>
      <c r="C107" s="18"/>
      <c r="D107" s="18"/>
      <c r="E107" s="18"/>
      <c r="F107" s="18"/>
      <c r="G107" s="18"/>
      <c r="H107" s="18"/>
      <c r="I107" s="18"/>
      <c r="J107" s="18"/>
    </row>
    <row r="108" spans="1:10">
      <c r="B108" s="38">
        <v>1</v>
      </c>
      <c r="C108" s="18"/>
      <c r="D108" s="18"/>
      <c r="E108" s="18"/>
      <c r="F108" s="18"/>
      <c r="G108" s="8" t="s">
        <v>45</v>
      </c>
      <c r="H108" s="18"/>
      <c r="I108" s="18"/>
      <c r="J108" s="18"/>
    </row>
    <row r="109" spans="1:10">
      <c r="B109" s="67" t="s">
        <v>3</v>
      </c>
      <c r="C109" s="67"/>
      <c r="D109" s="67"/>
      <c r="E109" s="67"/>
      <c r="F109" s="18"/>
      <c r="G109" s="18"/>
      <c r="H109" s="12" t="s">
        <v>12</v>
      </c>
      <c r="I109" s="12" t="s">
        <v>13</v>
      </c>
      <c r="J109" s="12" t="s">
        <v>14</v>
      </c>
    </row>
    <row r="110" spans="1:10">
      <c r="B110" s="36">
        <v>1</v>
      </c>
      <c r="C110" s="27">
        <v>0</v>
      </c>
      <c r="D110" s="27">
        <v>0</v>
      </c>
      <c r="E110" s="37">
        <v>0</v>
      </c>
      <c r="F110" s="18"/>
      <c r="G110" s="27" t="s">
        <v>9</v>
      </c>
      <c r="H110" s="38">
        <f t="array" ref="H110:H113">MMULT(B110:E113,B105:B108)</f>
        <v>-6</v>
      </c>
      <c r="I110" s="31">
        <f>D10-H110</f>
        <v>0</v>
      </c>
      <c r="J110" s="39">
        <f>I110/B101</f>
        <v>0</v>
      </c>
    </row>
    <row r="111" spans="1:10">
      <c r="B111" s="36">
        <v>0</v>
      </c>
      <c r="C111" s="27">
        <f>COS(B101)</f>
        <v>0.99999950000004167</v>
      </c>
      <c r="D111" s="27">
        <f>-SIN(B101)</f>
        <v>-9.9999983333334168E-4</v>
      </c>
      <c r="E111" s="37">
        <v>0</v>
      </c>
      <c r="F111" s="18"/>
      <c r="G111" s="27" t="s">
        <v>10</v>
      </c>
      <c r="H111" s="38">
        <v>23.019988496667626</v>
      </c>
      <c r="I111" s="31">
        <f>D11-H111</f>
        <v>-1.998849666762581E-2</v>
      </c>
      <c r="J111" s="39">
        <f>I111/B101</f>
        <v>-19.98849666762581</v>
      </c>
    </row>
    <row r="112" spans="1:10">
      <c r="B112" s="36">
        <v>0</v>
      </c>
      <c r="C112" s="27">
        <f>SIN(B101)</f>
        <v>9.9999983333334168E-4</v>
      </c>
      <c r="D112" s="27">
        <f>C111</f>
        <v>0.99999950000004167</v>
      </c>
      <c r="E112" s="37">
        <v>0</v>
      </c>
      <c r="F112" s="18"/>
      <c r="G112" s="27" t="s">
        <v>11</v>
      </c>
      <c r="H112" s="38">
        <v>-19.976990003834167</v>
      </c>
      <c r="I112" s="31">
        <f>D12-H112</f>
        <v>-2.3009996165832547E-2</v>
      </c>
      <c r="J112" s="39">
        <f>I112/B101</f>
        <v>-23.009996165832547</v>
      </c>
    </row>
    <row r="113" spans="2:10">
      <c r="B113" s="36">
        <v>0</v>
      </c>
      <c r="C113" s="27">
        <v>0</v>
      </c>
      <c r="D113" s="27">
        <v>0</v>
      </c>
      <c r="E113" s="37">
        <v>1</v>
      </c>
      <c r="F113" s="18"/>
      <c r="G113" s="27"/>
      <c r="H113" s="38">
        <v>1</v>
      </c>
      <c r="I113" s="31"/>
      <c r="J113" s="27"/>
    </row>
    <row r="114" spans="2:10">
      <c r="B114" s="18"/>
      <c r="C114" s="18"/>
      <c r="D114" s="18"/>
      <c r="E114" s="18"/>
      <c r="F114" s="18"/>
      <c r="G114" s="8" t="s">
        <v>46</v>
      </c>
      <c r="H114" s="8"/>
      <c r="I114" s="8"/>
      <c r="J114" s="8"/>
    </row>
    <row r="115" spans="2:10">
      <c r="B115" s="67" t="s">
        <v>2</v>
      </c>
      <c r="C115" s="67"/>
      <c r="D115" s="67"/>
      <c r="E115" s="67"/>
      <c r="F115" s="18"/>
      <c r="G115" s="8"/>
      <c r="H115" s="12" t="s">
        <v>12</v>
      </c>
      <c r="I115" s="12" t="s">
        <v>13</v>
      </c>
      <c r="J115" s="12" t="s">
        <v>14</v>
      </c>
    </row>
    <row r="116" spans="2:10">
      <c r="B116" s="36">
        <f>COS(B102)</f>
        <v>0.99999950000004167</v>
      </c>
      <c r="C116" s="27">
        <v>0</v>
      </c>
      <c r="D116" s="27">
        <f>SIN(B102)</f>
        <v>9.9999983333334168E-4</v>
      </c>
      <c r="E116" s="37">
        <v>0</v>
      </c>
      <c r="F116" s="18"/>
      <c r="G116" s="27" t="s">
        <v>9</v>
      </c>
      <c r="H116" s="38">
        <f t="array" ref="H116:H119">MMULT(B116:E119,B105:B108)</f>
        <v>-6.0199969966669169</v>
      </c>
      <c r="I116" s="31">
        <f>D10-H116</f>
        <v>1.99969966669169E-2</v>
      </c>
      <c r="J116" s="39">
        <f>I116/B102</f>
        <v>19.9969966669169</v>
      </c>
    </row>
    <row r="117" spans="2:10">
      <c r="B117" s="36">
        <v>0</v>
      </c>
      <c r="C117" s="27">
        <v>1</v>
      </c>
      <c r="D117" s="27">
        <v>0</v>
      </c>
      <c r="E117" s="37">
        <v>0</v>
      </c>
      <c r="F117" s="18"/>
      <c r="G117" s="27" t="s">
        <v>10</v>
      </c>
      <c r="H117" s="38">
        <v>23</v>
      </c>
      <c r="I117" s="31">
        <f>D11-H117</f>
        <v>0</v>
      </c>
      <c r="J117" s="39">
        <f>I117/B102</f>
        <v>0</v>
      </c>
    </row>
    <row r="118" spans="2:10">
      <c r="B118" s="36">
        <f>-SIN(B102)</f>
        <v>-9.9999983333334168E-4</v>
      </c>
      <c r="C118" s="27">
        <v>0</v>
      </c>
      <c r="D118" s="27">
        <f>B116</f>
        <v>0.99999950000004167</v>
      </c>
      <c r="E118" s="37">
        <v>0</v>
      </c>
      <c r="F118" s="18"/>
      <c r="G118" s="27" t="s">
        <v>11</v>
      </c>
      <c r="H118" s="38">
        <v>-19.993990001000835</v>
      </c>
      <c r="I118" s="31">
        <f>D12-H118</f>
        <v>-6.0099989991648783E-3</v>
      </c>
      <c r="J118" s="39">
        <f>I118/B102</f>
        <v>-6.0099989991648783</v>
      </c>
    </row>
    <row r="119" spans="2:10">
      <c r="B119" s="36">
        <v>0</v>
      </c>
      <c r="C119" s="27">
        <v>0</v>
      </c>
      <c r="D119" s="27">
        <v>0</v>
      </c>
      <c r="E119" s="37">
        <v>1</v>
      </c>
      <c r="F119" s="18"/>
      <c r="G119" s="27"/>
      <c r="H119" s="38">
        <v>1</v>
      </c>
      <c r="I119" s="27"/>
      <c r="J119" s="27"/>
    </row>
    <row r="120" spans="2:10">
      <c r="B120" s="18"/>
      <c r="C120" s="18"/>
      <c r="D120" s="18"/>
      <c r="E120" s="18"/>
      <c r="F120" s="18"/>
      <c r="G120" s="8" t="s">
        <v>47</v>
      </c>
      <c r="H120" s="8"/>
      <c r="I120" s="8"/>
      <c r="J120" s="8"/>
    </row>
    <row r="121" spans="2:10">
      <c r="B121" s="67" t="s">
        <v>4</v>
      </c>
      <c r="C121" s="67"/>
      <c r="D121" s="67"/>
      <c r="E121" s="67"/>
      <c r="F121" s="18"/>
      <c r="G121" s="8"/>
      <c r="H121" s="12" t="s">
        <v>12</v>
      </c>
      <c r="I121" s="12" t="s">
        <v>13</v>
      </c>
      <c r="J121" s="12" t="s">
        <v>14</v>
      </c>
    </row>
    <row r="122" spans="2:10">
      <c r="B122" s="36">
        <f>COS(B103)</f>
        <v>0.99999950000004167</v>
      </c>
      <c r="C122" s="27">
        <f>-SIN(B103)</f>
        <v>-9.9999983333334168E-4</v>
      </c>
      <c r="D122" s="27">
        <v>0</v>
      </c>
      <c r="E122" s="37">
        <v>0</v>
      </c>
      <c r="F122" s="18"/>
      <c r="G122" s="27" t="s">
        <v>9</v>
      </c>
      <c r="H122" s="38">
        <f t="array" ref="H122:H125">MMULT(B122:E125,B105:B108)</f>
        <v>-6.022996996166917</v>
      </c>
      <c r="I122" s="31">
        <f>D10-H122</f>
        <v>2.2996996166916972E-2</v>
      </c>
      <c r="J122" s="39">
        <f>I122/B103</f>
        <v>22.996996166916972</v>
      </c>
    </row>
    <row r="123" spans="2:10">
      <c r="B123" s="36">
        <f>SIN(B103)</f>
        <v>9.9999983333334168E-4</v>
      </c>
      <c r="C123" s="27">
        <f>B122</f>
        <v>0.99999950000004167</v>
      </c>
      <c r="D123" s="27">
        <v>0</v>
      </c>
      <c r="E123" s="37">
        <v>0</v>
      </c>
      <c r="F123" s="18"/>
      <c r="G123" s="27" t="s">
        <v>10</v>
      </c>
      <c r="H123" s="38">
        <v>22.99398850100096</v>
      </c>
      <c r="I123" s="31">
        <f>D11-H123</f>
        <v>6.0114989990402989E-3</v>
      </c>
      <c r="J123" s="39">
        <f>I123/B103</f>
        <v>6.0114989990402989</v>
      </c>
    </row>
    <row r="124" spans="2:10">
      <c r="B124" s="36">
        <v>0</v>
      </c>
      <c r="C124" s="27">
        <v>0</v>
      </c>
      <c r="D124" s="27">
        <v>1</v>
      </c>
      <c r="E124" s="37">
        <v>0</v>
      </c>
      <c r="F124" s="18"/>
      <c r="G124" s="27" t="s">
        <v>11</v>
      </c>
      <c r="H124" s="38">
        <v>-20</v>
      </c>
      <c r="I124" s="31">
        <f>D12-H124</f>
        <v>0</v>
      </c>
      <c r="J124" s="39">
        <f>I124/B103</f>
        <v>0</v>
      </c>
    </row>
    <row r="125" spans="2:10">
      <c r="B125" s="36">
        <v>0</v>
      </c>
      <c r="C125" s="27">
        <v>0</v>
      </c>
      <c r="D125" s="27">
        <v>0</v>
      </c>
      <c r="E125" s="37">
        <v>1</v>
      </c>
      <c r="F125" s="18"/>
      <c r="G125" s="27"/>
      <c r="H125" s="38">
        <v>1</v>
      </c>
      <c r="I125" s="27"/>
      <c r="J125" s="27"/>
    </row>
  </sheetData>
  <mergeCells count="13">
    <mergeCell ref="B121:E121"/>
    <mergeCell ref="A91:D91"/>
    <mergeCell ref="B92:B93"/>
    <mergeCell ref="F92:I92"/>
    <mergeCell ref="J92:N92"/>
    <mergeCell ref="B109:E109"/>
    <mergeCell ref="B115:E115"/>
    <mergeCell ref="A6:B6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31"/>
  <sheetViews>
    <sheetView workbookViewId="0">
      <selection activeCell="E16" sqref="E16"/>
    </sheetView>
  </sheetViews>
  <sheetFormatPr baseColWidth="10" defaultRowHeight="16"/>
  <cols>
    <col min="2" max="3" width="14.83203125" customWidth="1"/>
    <col min="4" max="4" width="16" customWidth="1"/>
  </cols>
  <sheetData>
    <row r="2" spans="2:4">
      <c r="C2" s="76" t="s">
        <v>224</v>
      </c>
      <c r="D2" s="2" t="s">
        <v>83</v>
      </c>
    </row>
    <row r="3" spans="2:4">
      <c r="B3" s="10"/>
      <c r="C3" s="76"/>
      <c r="D3" s="2" t="s">
        <v>88</v>
      </c>
    </row>
    <row r="4" spans="2:4">
      <c r="B4" t="s">
        <v>140</v>
      </c>
      <c r="D4" s="55"/>
    </row>
    <row r="5" spans="2:4">
      <c r="B5" s="10" t="s">
        <v>57</v>
      </c>
      <c r="C5" s="40">
        <f>C9+C13+C17+C21</f>
        <v>7.5308591182269161E-3</v>
      </c>
      <c r="D5" s="40">
        <f>(D9+D13+D17+D21)+SQRT(D9^2+D13^2+D17^2+D21^2)+SQRT((D9^2+D13^2+D17^2+D21^2)/4)/4</f>
        <v>8.9295419478377467E-3</v>
      </c>
    </row>
    <row r="6" spans="2:4">
      <c r="B6" s="10" t="s">
        <v>59</v>
      </c>
      <c r="C6" s="40">
        <f t="shared" ref="C6:C7" si="0">C10+C14+C18+C22</f>
        <v>-1.1039214068702185E-2</v>
      </c>
      <c r="D6" s="40">
        <f t="shared" ref="D6:D7" si="1">(D10+D14+D18+D22)+SQRT(D10^2+D14^2+D18^2+D22^2)+SQRT((D10^2+D14^2+D18^2+D22^2)/4)/4</f>
        <v>8.6104281545940197E-3</v>
      </c>
    </row>
    <row r="7" spans="2:4">
      <c r="B7" s="10" t="s">
        <v>60</v>
      </c>
      <c r="C7" s="40">
        <f t="shared" si="0"/>
        <v>-1.5496156044308233E-2</v>
      </c>
      <c r="D7" s="40">
        <f t="shared" si="1"/>
        <v>4.0997709921911825E-3</v>
      </c>
    </row>
    <row r="8" spans="2:4">
      <c r="B8" t="s">
        <v>139</v>
      </c>
      <c r="C8" s="55"/>
      <c r="D8" s="55"/>
    </row>
    <row r="9" spans="2:4">
      <c r="B9" s="10" t="s">
        <v>57</v>
      </c>
      <c r="C9" s="40">
        <f>'Axis 1'!B94</f>
        <v>0</v>
      </c>
      <c r="D9" s="40">
        <f>'Axis 1'!C94</f>
        <v>2.0247545699439047E-3</v>
      </c>
    </row>
    <row r="10" spans="2:4">
      <c r="B10" s="10" t="s">
        <v>59</v>
      </c>
      <c r="C10" s="40">
        <f>'Axis 1'!B95</f>
        <v>0</v>
      </c>
      <c r="D10" s="40">
        <f>'Axis 1'!C95</f>
        <v>2.0247545699439047E-3</v>
      </c>
    </row>
    <row r="11" spans="2:4">
      <c r="B11" s="10" t="s">
        <v>60</v>
      </c>
      <c r="C11" s="40">
        <f>'Axis 1'!B96</f>
        <v>-1E-4</v>
      </c>
      <c r="D11" s="40">
        <f>'Axis 1'!C96</f>
        <v>3.7562656244265202E-4</v>
      </c>
    </row>
    <row r="12" spans="2:4">
      <c r="B12" t="s">
        <v>94</v>
      </c>
      <c r="C12" s="55"/>
      <c r="D12" s="55"/>
    </row>
    <row r="13" spans="2:4">
      <c r="B13" s="10" t="s">
        <v>57</v>
      </c>
      <c r="C13" s="40">
        <f>'Axis 2'!B94</f>
        <v>8.1068905406419858E-5</v>
      </c>
      <c r="D13" s="40">
        <f>'Axis 2'!C94</f>
        <v>1.2498748010535033E-3</v>
      </c>
    </row>
    <row r="14" spans="2:4">
      <c r="B14" s="10" t="s">
        <v>59</v>
      </c>
      <c r="C14" s="40">
        <f>'Axis 2'!B95</f>
        <v>0</v>
      </c>
      <c r="D14" s="40">
        <f>'Axis 2'!C95</f>
        <v>1.795132665566631E-3</v>
      </c>
    </row>
    <row r="15" spans="2:4">
      <c r="B15" s="10" t="s">
        <v>60</v>
      </c>
      <c r="C15" s="40">
        <f>'Axis 2'!B96</f>
        <v>-4.9364860807425181E-5</v>
      </c>
      <c r="D15" s="40">
        <f>'Axis 2'!C96</f>
        <v>6.0426500268329487E-4</v>
      </c>
    </row>
    <row r="16" spans="2:4">
      <c r="B16" t="s">
        <v>141</v>
      </c>
      <c r="C16" s="55"/>
      <c r="D16" s="55"/>
    </row>
    <row r="17" spans="2:4">
      <c r="B17" s="10" t="s">
        <v>57</v>
      </c>
      <c r="C17" s="40">
        <f>'Axis 3'!B94</f>
        <v>3.5994594000450422E-4</v>
      </c>
      <c r="D17" s="40">
        <f>'Axis 3'!C94</f>
        <v>2.0911663510454316E-3</v>
      </c>
    </row>
    <row r="18" spans="2:4">
      <c r="B18" s="10" t="s">
        <v>59</v>
      </c>
      <c r="C18" s="40">
        <f>'Axis 3'!B95</f>
        <v>-1.4992497500625921E-3</v>
      </c>
      <c r="D18" s="40">
        <f>'Axis 3'!C95</f>
        <v>1.3755841654164325E-3</v>
      </c>
    </row>
    <row r="19" spans="2:4">
      <c r="B19" s="10" t="s">
        <v>60</v>
      </c>
      <c r="C19" s="40">
        <f>'Axis 3'!B96</f>
        <v>-1.7339297319222699E-3</v>
      </c>
      <c r="D19" s="40">
        <f>'Axis 3'!C96</f>
        <v>1.3765899087360399E-3</v>
      </c>
    </row>
    <row r="20" spans="2:4">
      <c r="B20" t="s">
        <v>142</v>
      </c>
      <c r="C20" s="55"/>
      <c r="D20" s="55"/>
    </row>
    <row r="21" spans="2:4">
      <c r="B21" s="10" t="s">
        <v>57</v>
      </c>
      <c r="C21" s="40">
        <f>'Axis 4'!B94</f>
        <v>7.0898442728159917E-3</v>
      </c>
      <c r="D21" s="40">
        <f>'Axis 4'!C94</f>
        <v>0</v>
      </c>
    </row>
    <row r="22" spans="2:4">
      <c r="B22" s="10" t="s">
        <v>59</v>
      </c>
      <c r="C22" s="40">
        <f>'Axis 4'!B95</f>
        <v>-9.5399643186395919E-3</v>
      </c>
      <c r="D22" s="40">
        <f>'Axis 4'!C95</f>
        <v>0</v>
      </c>
    </row>
    <row r="23" spans="2:4">
      <c r="B23" s="10" t="s">
        <v>60</v>
      </c>
      <c r="C23" s="40">
        <f>'Axis 4'!B96</f>
        <v>-1.3612861451578537E-2</v>
      </c>
      <c r="D23" s="40">
        <f>'Axis 4'!C96</f>
        <v>0</v>
      </c>
    </row>
    <row r="25" spans="2:4">
      <c r="B25" s="10"/>
    </row>
    <row r="26" spans="2:4">
      <c r="B26" s="10"/>
    </row>
    <row r="27" spans="2:4">
      <c r="B27" s="10"/>
    </row>
    <row r="29" spans="2:4">
      <c r="B29" s="10"/>
    </row>
    <row r="30" spans="2:4">
      <c r="B30" s="10"/>
    </row>
    <row r="31" spans="2:4">
      <c r="B31" s="10"/>
    </row>
  </sheetData>
  <mergeCells count="1">
    <mergeCell ref="C2:C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G35" sqref="G35"/>
    </sheetView>
  </sheetViews>
  <sheetFormatPr baseColWidth="10" defaultRowHeight="16"/>
  <cols>
    <col min="1" max="1" width="19.33203125" customWidth="1"/>
  </cols>
  <sheetData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62</vt:i4>
      </vt:variant>
    </vt:vector>
  </HeadingPairs>
  <TitlesOfParts>
    <vt:vector size="68" baseType="lpstr">
      <vt:lpstr>Axis 1</vt:lpstr>
      <vt:lpstr>Axis 2</vt:lpstr>
      <vt:lpstr>Axis 3</vt:lpstr>
      <vt:lpstr>Axis 4</vt:lpstr>
      <vt:lpstr>Summary</vt:lpstr>
      <vt:lpstr>HTM formulas</vt:lpstr>
      <vt:lpstr>deflx_1</vt:lpstr>
      <vt:lpstr>defly_1</vt:lpstr>
      <vt:lpstr>deflz_1</vt:lpstr>
      <vt:lpstr>delbear</vt:lpstr>
      <vt:lpstr>delforce</vt:lpstr>
      <vt:lpstr>depsx_1</vt:lpstr>
      <vt:lpstr>depsy_1</vt:lpstr>
      <vt:lpstr>depsz_1</vt:lpstr>
      <vt:lpstr>dservo_1</vt:lpstr>
      <vt:lpstr>dx_epsx_1</vt:lpstr>
      <vt:lpstr>dx_epsy_1</vt:lpstr>
      <vt:lpstr>dx_epsz_1</vt:lpstr>
      <vt:lpstr>dxbr_1</vt:lpstr>
      <vt:lpstr>dxr_1</vt:lpstr>
      <vt:lpstr>dy_epsx_1</vt:lpstr>
      <vt:lpstr>dy_epsy_1</vt:lpstr>
      <vt:lpstr>dy_epsz_1</vt:lpstr>
      <vt:lpstr>dybr_1</vt:lpstr>
      <vt:lpstr>dyr_1</vt:lpstr>
      <vt:lpstr>dz_epsx_1</vt:lpstr>
      <vt:lpstr>dz_epsy_1</vt:lpstr>
      <vt:lpstr>dz_epsz_1</vt:lpstr>
      <vt:lpstr>dzbr_1</vt:lpstr>
      <vt:lpstr>dzr_1</vt:lpstr>
      <vt:lpstr>epsaxis</vt:lpstr>
      <vt:lpstr>epsxg</vt:lpstr>
      <vt:lpstr>epsyg</vt:lpstr>
      <vt:lpstr>epszg</vt:lpstr>
      <vt:lpstr>exr_1</vt:lpstr>
      <vt:lpstr>eyr_1</vt:lpstr>
      <vt:lpstr>ezr_1</vt:lpstr>
      <vt:lpstr>Fc</vt:lpstr>
      <vt:lpstr>Fx_1</vt:lpstr>
      <vt:lpstr>Fxa_1</vt:lpstr>
      <vt:lpstr>Fxg_1</vt:lpstr>
      <vt:lpstr>Fy_1</vt:lpstr>
      <vt:lpstr>Fya_1</vt:lpstr>
      <vt:lpstr>Fyg_1</vt:lpstr>
      <vt:lpstr>Fz_1</vt:lpstr>
      <vt:lpstr>Fza_1</vt:lpstr>
      <vt:lpstr>Fzg_1</vt:lpstr>
      <vt:lpstr>Kforce</vt:lpstr>
      <vt:lpstr>Krotx_1</vt:lpstr>
      <vt:lpstr>Kroty_1</vt:lpstr>
      <vt:lpstr>Krotz_1</vt:lpstr>
      <vt:lpstr>Kservo_1</vt:lpstr>
      <vt:lpstr>Kx_1</vt:lpstr>
      <vt:lpstr>Ky_1</vt:lpstr>
      <vt:lpstr>Kz_1</vt:lpstr>
      <vt:lpstr>Mx_1</vt:lpstr>
      <vt:lpstr>Mxa_1</vt:lpstr>
      <vt:lpstr>Mxg_1</vt:lpstr>
      <vt:lpstr>My_1</vt:lpstr>
      <vt:lpstr>Mya_1</vt:lpstr>
      <vt:lpstr>Myg_1</vt:lpstr>
      <vt:lpstr>Mz_1</vt:lpstr>
      <vt:lpstr>Mza_1</vt:lpstr>
      <vt:lpstr>Mzg_1</vt:lpstr>
      <vt:lpstr>Nbear</vt:lpstr>
      <vt:lpstr>Xl_1</vt:lpstr>
      <vt:lpstr>Yl_1</vt:lpstr>
      <vt:lpstr>Zl_1</vt:lpstr>
    </vt:vector>
  </TitlesOfParts>
  <Company>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Slocum</dc:creator>
  <cp:lastModifiedBy>Microsoft Office User</cp:lastModifiedBy>
  <dcterms:created xsi:type="dcterms:W3CDTF">2015-07-18T14:59:20Z</dcterms:created>
  <dcterms:modified xsi:type="dcterms:W3CDTF">2020-10-02T11:04:49Z</dcterms:modified>
</cp:coreProperties>
</file>