
<file path=[Content_Types].xml><?xml version="1.0" encoding="utf-8"?>
<Types xmlns="http://schemas.openxmlformats.org/package/2006/content-type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slocum/Dropbox (MIT)/KLA PMD June 2022 short course/Day 3/Topic 8 Error Budgets/"/>
    </mc:Choice>
  </mc:AlternateContent>
  <xr:revisionPtr revIDLastSave="0" documentId="13_ncr:1_{C4F61C19-78FB-9944-972E-436CE9BCC723}" xr6:coauthVersionLast="47" xr6:coauthVersionMax="47" xr10:uidLastSave="{00000000-0000-0000-0000-000000000000}"/>
  <bookViews>
    <workbookView xWindow="3640" yWindow="1920" windowWidth="29900" windowHeight="18740" tabRatio="908" activeTab="2" xr2:uid="{00000000-000D-0000-FFFF-FFFF00000000}"/>
  </bookViews>
  <sheets>
    <sheet name="Summary" sheetId="7" r:id="rId1"/>
    <sheet name="CSs and Loads" sheetId="18" r:id="rId2"/>
    <sheet name="Edit History" sheetId="33" r:id="rId3"/>
    <sheet name="CS_1" sheetId="21" r:id="rId4"/>
    <sheet name="CS_2" sheetId="22" r:id="rId5"/>
    <sheet name="CS_3" sheetId="24" r:id="rId6"/>
    <sheet name="CS_4" sheetId="25" r:id="rId7"/>
    <sheet name="CS_5" sheetId="26" r:id="rId8"/>
    <sheet name="CS_6" sheetId="27" r:id="rId9"/>
    <sheet name="CS_7"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REB">Summary!$K$11</definedName>
    <definedName name="REBS">Summary!$K$10</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7" l="1"/>
  <c r="E19" i="7"/>
  <c r="K32" i="21"/>
  <c r="J32" i="21"/>
  <c r="I32" i="21"/>
  <c r="H32" i="21"/>
  <c r="K33" i="21"/>
  <c r="J33" i="21"/>
  <c r="I33" i="21"/>
  <c r="H33" i="21"/>
  <c r="K33" i="22"/>
  <c r="J33" i="22"/>
  <c r="I33" i="22"/>
  <c r="H33" i="22"/>
  <c r="K31" i="22"/>
  <c r="J31" i="22"/>
  <c r="I31" i="22"/>
  <c r="H31" i="22"/>
  <c r="K33" i="24"/>
  <c r="J33" i="24"/>
  <c r="I33" i="24"/>
  <c r="H33" i="24"/>
  <c r="K31" i="24"/>
  <c r="J31" i="24"/>
  <c r="I31" i="24"/>
  <c r="H31" i="24"/>
  <c r="D7" i="21"/>
  <c r="D6" i="21"/>
  <c r="D10" i="21" s="1"/>
  <c r="K49" i="31"/>
  <c r="J49" i="31"/>
  <c r="I49" i="31"/>
  <c r="H49" i="31"/>
  <c r="K48" i="31"/>
  <c r="J48" i="31"/>
  <c r="I48" i="31"/>
  <c r="H48" i="31"/>
  <c r="K47" i="31"/>
  <c r="J47" i="31"/>
  <c r="I47" i="31"/>
  <c r="H47" i="31"/>
  <c r="K49" i="30"/>
  <c r="J49" i="30"/>
  <c r="I49" i="30"/>
  <c r="H49" i="30"/>
  <c r="K48" i="30"/>
  <c r="J48" i="30"/>
  <c r="I48" i="30"/>
  <c r="H48" i="30"/>
  <c r="K47" i="30"/>
  <c r="J47" i="30"/>
  <c r="I47" i="30"/>
  <c r="H47" i="30"/>
  <c r="K49" i="29"/>
  <c r="J49" i="29"/>
  <c r="I49" i="29"/>
  <c r="H49" i="29"/>
  <c r="K48" i="29"/>
  <c r="J48" i="29"/>
  <c r="I48" i="29"/>
  <c r="H48" i="29"/>
  <c r="K47" i="29"/>
  <c r="J47" i="29"/>
  <c r="I47" i="29"/>
  <c r="H47" i="29"/>
  <c r="K48" i="28"/>
  <c r="J48" i="28"/>
  <c r="I48" i="28"/>
  <c r="H48" i="28"/>
  <c r="K47" i="28"/>
  <c r="J47" i="28"/>
  <c r="I47" i="28"/>
  <c r="H47" i="28"/>
  <c r="K46" i="28"/>
  <c r="J46" i="28"/>
  <c r="I46" i="28"/>
  <c r="H46" i="28"/>
  <c r="K49" i="27"/>
  <c r="J49" i="27"/>
  <c r="I49" i="27"/>
  <c r="H49" i="27"/>
  <c r="K48" i="27"/>
  <c r="J48" i="27"/>
  <c r="I48" i="27"/>
  <c r="H48" i="27"/>
  <c r="K47" i="27"/>
  <c r="J47" i="27"/>
  <c r="I47" i="27"/>
  <c r="H47" i="27"/>
  <c r="K48" i="26"/>
  <c r="J48" i="26"/>
  <c r="I48" i="26"/>
  <c r="H48" i="26"/>
  <c r="K47" i="26"/>
  <c r="J47" i="26"/>
  <c r="I47" i="26"/>
  <c r="H47" i="26"/>
  <c r="K46" i="26"/>
  <c r="J46" i="26"/>
  <c r="I46" i="26"/>
  <c r="H46" i="26"/>
  <c r="K48" i="25"/>
  <c r="J48" i="25"/>
  <c r="I48" i="25"/>
  <c r="H48" i="25"/>
  <c r="K47" i="25"/>
  <c r="J47" i="25"/>
  <c r="I47" i="25"/>
  <c r="H47" i="25"/>
  <c r="K46" i="25"/>
  <c r="J46" i="25"/>
  <c r="I46" i="25"/>
  <c r="H46" i="25"/>
  <c r="K49" i="24"/>
  <c r="J49" i="24"/>
  <c r="I49" i="24"/>
  <c r="H49" i="24"/>
  <c r="K48" i="24"/>
  <c r="J48" i="24"/>
  <c r="I48" i="24"/>
  <c r="H48" i="24"/>
  <c r="K47" i="24"/>
  <c r="J47" i="24"/>
  <c r="I47" i="24"/>
  <c r="H47" i="24"/>
  <c r="K49" i="22"/>
  <c r="J49" i="22"/>
  <c r="I49" i="22"/>
  <c r="H49" i="22"/>
  <c r="K48" i="22"/>
  <c r="J48" i="22"/>
  <c r="I48" i="22"/>
  <c r="H48" i="22"/>
  <c r="K47" i="22"/>
  <c r="J47" i="22"/>
  <c r="I47" i="22"/>
  <c r="H47" i="22"/>
  <c r="H48" i="21"/>
  <c r="I48" i="21"/>
  <c r="J48" i="21"/>
  <c r="K48" i="21"/>
  <c r="H49" i="21"/>
  <c r="I49" i="21"/>
  <c r="J49" i="21"/>
  <c r="K49" i="21"/>
  <c r="I47" i="21"/>
  <c r="J47" i="21"/>
  <c r="K47" i="21"/>
  <c r="H47" i="21"/>
  <c r="M14" i="7" l="1"/>
  <c r="M18" i="7" s="1"/>
  <c r="K17" i="7"/>
  <c r="K18" i="7" s="1"/>
  <c r="C55" i="18"/>
  <c r="C53" i="18"/>
  <c r="C13" i="18"/>
  <c r="E43" i="18" s="1"/>
  <c r="C14" i="18"/>
  <c r="AC29" i="18" s="1"/>
  <c r="C15" i="18"/>
  <c r="E41" i="18" s="1"/>
  <c r="C20" i="18"/>
  <c r="C21" i="18"/>
  <c r="C22" i="18"/>
  <c r="L16" i="7"/>
  <c r="C54" i="18" s="1"/>
  <c r="B14" i="7"/>
  <c r="C88" i="18"/>
  <c r="C87" i="18"/>
  <c r="C86" i="18"/>
  <c r="H104" i="31"/>
  <c r="H106" i="31" s="1"/>
  <c r="H53" i="31" s="1"/>
  <c r="H105" i="31"/>
  <c r="I104" i="31"/>
  <c r="I105" i="31"/>
  <c r="J104" i="31"/>
  <c r="J105" i="31"/>
  <c r="K104" i="31"/>
  <c r="K105" i="31"/>
  <c r="L104" i="31"/>
  <c r="L105" i="31"/>
  <c r="L106" i="31"/>
  <c r="L53" i="31"/>
  <c r="M104" i="31"/>
  <c r="M105" i="31"/>
  <c r="M106" i="31"/>
  <c r="M53" i="31"/>
  <c r="N104" i="31"/>
  <c r="N105" i="31"/>
  <c r="N106" i="31"/>
  <c r="N53" i="31"/>
  <c r="O104" i="31"/>
  <c r="O105" i="31"/>
  <c r="O106" i="31"/>
  <c r="O53" i="31"/>
  <c r="P104" i="31"/>
  <c r="P105" i="31"/>
  <c r="P106" i="31"/>
  <c r="P53" i="31"/>
  <c r="Q104" i="31"/>
  <c r="Q105" i="31"/>
  <c r="Q106" i="31"/>
  <c r="Q53" i="31"/>
  <c r="R104" i="31"/>
  <c r="R105" i="31"/>
  <c r="R106" i="31"/>
  <c r="R53" i="31"/>
  <c r="S104" i="31"/>
  <c r="S105" i="31"/>
  <c r="S106" i="31"/>
  <c r="S53" i="31"/>
  <c r="H120" i="31"/>
  <c r="H121" i="31"/>
  <c r="H122" i="31"/>
  <c r="H123" i="31"/>
  <c r="H61" i="31"/>
  <c r="I120" i="31"/>
  <c r="I121" i="31"/>
  <c r="I122" i="31"/>
  <c r="I123" i="31"/>
  <c r="I61" i="31"/>
  <c r="J120" i="31"/>
  <c r="J121" i="31"/>
  <c r="J122" i="31"/>
  <c r="J123" i="31"/>
  <c r="J61" i="31"/>
  <c r="K120" i="31"/>
  <c r="K121" i="31"/>
  <c r="K122" i="31"/>
  <c r="K123" i="31"/>
  <c r="K61" i="31"/>
  <c r="L120" i="31"/>
  <c r="L121" i="31"/>
  <c r="L122" i="31"/>
  <c r="L123" i="31"/>
  <c r="L61" i="31"/>
  <c r="M120" i="31"/>
  <c r="M121" i="31"/>
  <c r="M122" i="31"/>
  <c r="M123" i="31"/>
  <c r="M61" i="31"/>
  <c r="N120" i="31"/>
  <c r="N121" i="31"/>
  <c r="N122" i="31"/>
  <c r="N123" i="31"/>
  <c r="N61" i="31"/>
  <c r="O120" i="31"/>
  <c r="O121" i="31"/>
  <c r="O122" i="31"/>
  <c r="O123" i="31"/>
  <c r="O61" i="31"/>
  <c r="P120" i="31"/>
  <c r="P121" i="31"/>
  <c r="P122" i="31"/>
  <c r="P123" i="31"/>
  <c r="P61" i="31"/>
  <c r="Q120" i="31"/>
  <c r="Q121" i="31"/>
  <c r="Q122" i="31"/>
  <c r="Q123" i="31"/>
  <c r="Q61" i="31"/>
  <c r="R120" i="31"/>
  <c r="R121" i="31"/>
  <c r="R122" i="31"/>
  <c r="R123" i="31"/>
  <c r="R61" i="31"/>
  <c r="S120" i="31"/>
  <c r="S121" i="31"/>
  <c r="S122" i="31"/>
  <c r="S123" i="31"/>
  <c r="S61" i="31"/>
  <c r="B57" i="31"/>
  <c r="H100" i="31"/>
  <c r="H101" i="31"/>
  <c r="I100" i="31"/>
  <c r="I101" i="31"/>
  <c r="J100" i="31"/>
  <c r="J101" i="31"/>
  <c r="J102" i="31" s="1"/>
  <c r="J52" i="31" s="1"/>
  <c r="K100" i="31"/>
  <c r="K101" i="31"/>
  <c r="L100" i="31"/>
  <c r="L101" i="31"/>
  <c r="L102" i="31"/>
  <c r="L52" i="31"/>
  <c r="M100" i="31"/>
  <c r="M101" i="31"/>
  <c r="M102" i="31"/>
  <c r="M52" i="31"/>
  <c r="N100" i="31"/>
  <c r="N101" i="31"/>
  <c r="N102" i="31"/>
  <c r="N52" i="31"/>
  <c r="O100" i="31"/>
  <c r="O101" i="31"/>
  <c r="O102" i="31"/>
  <c r="O52" i="31"/>
  <c r="P100" i="31"/>
  <c r="P101" i="31"/>
  <c r="P102" i="31"/>
  <c r="P52" i="31"/>
  <c r="Q100" i="31"/>
  <c r="Q101" i="31"/>
  <c r="Q102" i="31"/>
  <c r="Q52" i="31"/>
  <c r="R100" i="31"/>
  <c r="R101" i="31"/>
  <c r="R102" i="31"/>
  <c r="R52" i="31"/>
  <c r="S100" i="31"/>
  <c r="S101" i="31"/>
  <c r="S102" i="31"/>
  <c r="S52" i="31"/>
  <c r="H115" i="31"/>
  <c r="H116" i="31"/>
  <c r="H117" i="31"/>
  <c r="H118" i="31"/>
  <c r="H60" i="31"/>
  <c r="I115" i="31"/>
  <c r="I116" i="31"/>
  <c r="I117" i="31"/>
  <c r="I118" i="31"/>
  <c r="I60" i="31"/>
  <c r="J115" i="31"/>
  <c r="J116" i="31"/>
  <c r="J117" i="31"/>
  <c r="J118" i="31"/>
  <c r="J60" i="31"/>
  <c r="K115" i="31"/>
  <c r="K116" i="31"/>
  <c r="K117" i="31"/>
  <c r="K118" i="31"/>
  <c r="K60" i="31"/>
  <c r="L115" i="31"/>
  <c r="L116" i="31"/>
  <c r="L117" i="31"/>
  <c r="L118" i="31"/>
  <c r="L60" i="31"/>
  <c r="M115" i="31"/>
  <c r="M116" i="31"/>
  <c r="M117" i="31"/>
  <c r="M118" i="31"/>
  <c r="M60" i="31"/>
  <c r="N115" i="31"/>
  <c r="N116" i="31"/>
  <c r="N117" i="31"/>
  <c r="N118" i="31"/>
  <c r="N60" i="31"/>
  <c r="O115" i="31"/>
  <c r="O116" i="31"/>
  <c r="O117" i="31"/>
  <c r="O118" i="31"/>
  <c r="O60" i="31"/>
  <c r="P115" i="31"/>
  <c r="P116" i="31"/>
  <c r="P117" i="31"/>
  <c r="P118" i="31"/>
  <c r="P60" i="31"/>
  <c r="Q115" i="31"/>
  <c r="Q116" i="31"/>
  <c r="Q117" i="31"/>
  <c r="Q118" i="31"/>
  <c r="Q60" i="31"/>
  <c r="R115" i="31"/>
  <c r="R116" i="31"/>
  <c r="R117" i="31"/>
  <c r="R118" i="31"/>
  <c r="R60" i="31"/>
  <c r="S115" i="31"/>
  <c r="S116" i="31"/>
  <c r="S117" i="31"/>
  <c r="S118" i="31"/>
  <c r="S60" i="31"/>
  <c r="B56" i="31"/>
  <c r="H96" i="31"/>
  <c r="H97" i="31"/>
  <c r="I96" i="31"/>
  <c r="I97" i="31"/>
  <c r="J96" i="31"/>
  <c r="J97" i="31"/>
  <c r="K96" i="31"/>
  <c r="K98" i="31" s="1"/>
  <c r="K51" i="31" s="1"/>
  <c r="K97" i="31"/>
  <c r="L96" i="31"/>
  <c r="L97" i="31"/>
  <c r="L98" i="31"/>
  <c r="L51" i="31"/>
  <c r="M96" i="31"/>
  <c r="M97" i="31"/>
  <c r="M98" i="31"/>
  <c r="M51" i="31"/>
  <c r="N96" i="31"/>
  <c r="N97" i="31"/>
  <c r="N98" i="31"/>
  <c r="N51" i="31"/>
  <c r="O96" i="31"/>
  <c r="O97" i="31"/>
  <c r="O98" i="31"/>
  <c r="O51" i="31"/>
  <c r="P96" i="31"/>
  <c r="P97" i="31"/>
  <c r="P98" i="31"/>
  <c r="P51" i="31"/>
  <c r="Q96" i="31"/>
  <c r="Q97" i="31"/>
  <c r="Q98" i="31"/>
  <c r="Q51" i="31"/>
  <c r="R96" i="31"/>
  <c r="R97" i="31"/>
  <c r="R98" i="31"/>
  <c r="R51" i="31"/>
  <c r="S96" i="31"/>
  <c r="S97" i="31"/>
  <c r="S98" i="31"/>
  <c r="S51" i="31"/>
  <c r="H110" i="31"/>
  <c r="H111" i="31"/>
  <c r="H112" i="31"/>
  <c r="H113" i="31"/>
  <c r="H59" i="31"/>
  <c r="I110" i="31"/>
  <c r="I111" i="31"/>
  <c r="I112" i="31"/>
  <c r="I113" i="31"/>
  <c r="I59" i="31"/>
  <c r="J110" i="31"/>
  <c r="J111" i="31"/>
  <c r="J112" i="31"/>
  <c r="J113" i="31"/>
  <c r="J59" i="31"/>
  <c r="K110" i="31"/>
  <c r="K111" i="31"/>
  <c r="K112" i="31"/>
  <c r="K113" i="31"/>
  <c r="K59" i="31"/>
  <c r="L110" i="31"/>
  <c r="L111" i="31"/>
  <c r="L112" i="31"/>
  <c r="L113" i="31"/>
  <c r="L59" i="31"/>
  <c r="M110" i="31"/>
  <c r="M111" i="31"/>
  <c r="M112" i="31"/>
  <c r="M113" i="31"/>
  <c r="M59" i="31"/>
  <c r="N110" i="31"/>
  <c r="N111" i="31"/>
  <c r="N112" i="31"/>
  <c r="N113" i="31"/>
  <c r="N59" i="31"/>
  <c r="O110" i="31"/>
  <c r="O111" i="31"/>
  <c r="O112" i="31"/>
  <c r="O113" i="31"/>
  <c r="O59" i="31"/>
  <c r="P110" i="31"/>
  <c r="P111" i="31"/>
  <c r="P112" i="31"/>
  <c r="P113" i="31"/>
  <c r="P59" i="31"/>
  <c r="Q110" i="31"/>
  <c r="Q111" i="31"/>
  <c r="Q112" i="31"/>
  <c r="Q113" i="31"/>
  <c r="Q59" i="31"/>
  <c r="R110" i="31"/>
  <c r="R111" i="31"/>
  <c r="R112" i="31"/>
  <c r="R113" i="31"/>
  <c r="R59" i="31"/>
  <c r="S110" i="31"/>
  <c r="S111" i="31"/>
  <c r="S112" i="31"/>
  <c r="S113" i="31"/>
  <c r="S59" i="31"/>
  <c r="B55" i="31"/>
  <c r="H100" i="30"/>
  <c r="H101" i="30"/>
  <c r="I100" i="30"/>
  <c r="I101" i="30"/>
  <c r="J100" i="30"/>
  <c r="J101" i="30"/>
  <c r="K100" i="30"/>
  <c r="K101" i="30"/>
  <c r="L100" i="30"/>
  <c r="L101" i="30"/>
  <c r="L102" i="30"/>
  <c r="L52" i="30"/>
  <c r="M100" i="30"/>
  <c r="M101" i="30"/>
  <c r="M102" i="30"/>
  <c r="M52" i="30"/>
  <c r="N100" i="30"/>
  <c r="N101" i="30"/>
  <c r="N102" i="30"/>
  <c r="N52" i="30"/>
  <c r="O100" i="30"/>
  <c r="O101" i="30"/>
  <c r="O102" i="30"/>
  <c r="O52" i="30"/>
  <c r="P100" i="30"/>
  <c r="P101" i="30"/>
  <c r="P102" i="30"/>
  <c r="P52" i="30"/>
  <c r="Q100" i="30"/>
  <c r="Q101" i="30"/>
  <c r="Q102" i="30"/>
  <c r="Q52" i="30"/>
  <c r="R100" i="30"/>
  <c r="R101" i="30"/>
  <c r="R102" i="30"/>
  <c r="R52" i="30"/>
  <c r="S100" i="30"/>
  <c r="S101" i="30"/>
  <c r="S102" i="30"/>
  <c r="S52" i="30"/>
  <c r="H115" i="30"/>
  <c r="H116" i="30"/>
  <c r="H117" i="30"/>
  <c r="H118" i="30"/>
  <c r="H60" i="30"/>
  <c r="I115" i="30"/>
  <c r="I116" i="30"/>
  <c r="I117" i="30"/>
  <c r="I118" i="30"/>
  <c r="I60" i="30"/>
  <c r="J115" i="30"/>
  <c r="J116" i="30"/>
  <c r="J117" i="30"/>
  <c r="J118" i="30"/>
  <c r="J60" i="30"/>
  <c r="K115" i="30"/>
  <c r="K116" i="30"/>
  <c r="K117" i="30"/>
  <c r="K118" i="30"/>
  <c r="K60" i="30"/>
  <c r="L115" i="30"/>
  <c r="L116" i="30"/>
  <c r="L117" i="30"/>
  <c r="L118" i="30"/>
  <c r="L60" i="30"/>
  <c r="M115" i="30"/>
  <c r="M116" i="30"/>
  <c r="M117" i="30"/>
  <c r="M118" i="30"/>
  <c r="M60" i="30"/>
  <c r="N115" i="30"/>
  <c r="N116" i="30"/>
  <c r="N117" i="30"/>
  <c r="N118" i="30"/>
  <c r="N60" i="30"/>
  <c r="O115" i="30"/>
  <c r="O116" i="30"/>
  <c r="O117" i="30"/>
  <c r="O118" i="30"/>
  <c r="O60" i="30"/>
  <c r="P115" i="30"/>
  <c r="P116" i="30"/>
  <c r="P117" i="30"/>
  <c r="P118" i="30"/>
  <c r="P60" i="30"/>
  <c r="Q115" i="30"/>
  <c r="Q116" i="30"/>
  <c r="Q117" i="30"/>
  <c r="Q118" i="30"/>
  <c r="Q60" i="30"/>
  <c r="R115" i="30"/>
  <c r="R116" i="30"/>
  <c r="R117" i="30"/>
  <c r="R118" i="30"/>
  <c r="R60" i="30"/>
  <c r="S115" i="30"/>
  <c r="S116" i="30"/>
  <c r="S117" i="30"/>
  <c r="S118" i="30"/>
  <c r="S60" i="30"/>
  <c r="B56" i="30"/>
  <c r="H96" i="30"/>
  <c r="H97" i="30"/>
  <c r="I96" i="30"/>
  <c r="I97" i="30"/>
  <c r="J96" i="30"/>
  <c r="J97" i="30"/>
  <c r="K96" i="30"/>
  <c r="K97" i="30"/>
  <c r="L96" i="30"/>
  <c r="L97" i="30"/>
  <c r="L98" i="30"/>
  <c r="L51" i="30"/>
  <c r="M96" i="30"/>
  <c r="M97" i="30"/>
  <c r="M98" i="30"/>
  <c r="M51" i="30"/>
  <c r="N96" i="30"/>
  <c r="N97" i="30"/>
  <c r="N98" i="30"/>
  <c r="N51" i="30"/>
  <c r="O96" i="30"/>
  <c r="O97" i="30"/>
  <c r="O98" i="30"/>
  <c r="O51" i="30"/>
  <c r="P96" i="30"/>
  <c r="P97" i="30"/>
  <c r="P98" i="30"/>
  <c r="P51" i="30"/>
  <c r="Q96" i="30"/>
  <c r="Q97" i="30"/>
  <c r="Q98" i="30"/>
  <c r="Q51" i="30"/>
  <c r="R96" i="30"/>
  <c r="R97" i="30"/>
  <c r="R98" i="30"/>
  <c r="R51" i="30"/>
  <c r="S96" i="30"/>
  <c r="S97" i="30"/>
  <c r="S98" i="30"/>
  <c r="S51" i="30"/>
  <c r="H110" i="30"/>
  <c r="H111" i="30"/>
  <c r="H112" i="30"/>
  <c r="H113" i="30"/>
  <c r="H59" i="30"/>
  <c r="I110" i="30"/>
  <c r="I111" i="30"/>
  <c r="I112" i="30"/>
  <c r="I113" i="30"/>
  <c r="I59" i="30"/>
  <c r="J110" i="30"/>
  <c r="J111" i="30"/>
  <c r="J112" i="30"/>
  <c r="J113" i="30"/>
  <c r="J59" i="30"/>
  <c r="K110" i="30"/>
  <c r="K111" i="30"/>
  <c r="K112" i="30"/>
  <c r="K113" i="30"/>
  <c r="K59" i="30"/>
  <c r="L110" i="30"/>
  <c r="L111" i="30"/>
  <c r="L112" i="30"/>
  <c r="L113" i="30"/>
  <c r="L59" i="30"/>
  <c r="M110" i="30"/>
  <c r="M111" i="30"/>
  <c r="M112" i="30"/>
  <c r="M113" i="30"/>
  <c r="M59" i="30"/>
  <c r="N110" i="30"/>
  <c r="N111" i="30"/>
  <c r="N112" i="30"/>
  <c r="N113" i="30"/>
  <c r="N59" i="30"/>
  <c r="O110" i="30"/>
  <c r="O111" i="30"/>
  <c r="O112" i="30"/>
  <c r="O113" i="30"/>
  <c r="O59" i="30"/>
  <c r="P110" i="30"/>
  <c r="P111" i="30"/>
  <c r="P112" i="30"/>
  <c r="P113" i="30"/>
  <c r="P59" i="30"/>
  <c r="Q110" i="30"/>
  <c r="Q111" i="30"/>
  <c r="Q112" i="30"/>
  <c r="Q113" i="30"/>
  <c r="Q59" i="30"/>
  <c r="R110" i="30"/>
  <c r="R111" i="30"/>
  <c r="R112" i="30"/>
  <c r="R113" i="30"/>
  <c r="R59" i="30"/>
  <c r="S110" i="30"/>
  <c r="S111" i="30"/>
  <c r="S112" i="30"/>
  <c r="S113" i="30"/>
  <c r="S59" i="30"/>
  <c r="B55" i="30"/>
  <c r="H104" i="29"/>
  <c r="H105" i="29"/>
  <c r="I104" i="29"/>
  <c r="I105" i="29"/>
  <c r="J104" i="29"/>
  <c r="J105" i="29"/>
  <c r="K104" i="29"/>
  <c r="K105" i="29"/>
  <c r="L104" i="29"/>
  <c r="L105" i="29"/>
  <c r="L106" i="29"/>
  <c r="L53" i="29"/>
  <c r="M104" i="29"/>
  <c r="M105" i="29"/>
  <c r="M106" i="29"/>
  <c r="M53" i="29"/>
  <c r="N104" i="29"/>
  <c r="N105" i="29"/>
  <c r="N106" i="29"/>
  <c r="N53" i="29"/>
  <c r="O104" i="29"/>
  <c r="O105" i="29"/>
  <c r="O106" i="29"/>
  <c r="O53" i="29"/>
  <c r="P104" i="29"/>
  <c r="P105" i="29"/>
  <c r="P106" i="29"/>
  <c r="P53" i="29"/>
  <c r="Q104" i="29"/>
  <c r="Q105" i="29"/>
  <c r="Q106" i="29"/>
  <c r="Q53" i="29"/>
  <c r="R104" i="29"/>
  <c r="R105" i="29"/>
  <c r="R106" i="29"/>
  <c r="R53" i="29"/>
  <c r="S104" i="29"/>
  <c r="S105" i="29"/>
  <c r="S106" i="29"/>
  <c r="S53" i="29"/>
  <c r="H120" i="29"/>
  <c r="H121" i="29"/>
  <c r="H122" i="29"/>
  <c r="H123" i="29"/>
  <c r="H61" i="29"/>
  <c r="I120" i="29"/>
  <c r="I121" i="29"/>
  <c r="I122" i="29"/>
  <c r="I123" i="29"/>
  <c r="I61" i="29"/>
  <c r="J120" i="29"/>
  <c r="J121" i="29"/>
  <c r="J122" i="29"/>
  <c r="J123" i="29"/>
  <c r="J61" i="29"/>
  <c r="K120" i="29"/>
  <c r="K121" i="29"/>
  <c r="K122" i="29"/>
  <c r="K123" i="29"/>
  <c r="K61" i="29"/>
  <c r="L120" i="29"/>
  <c r="L121" i="29"/>
  <c r="L122" i="29"/>
  <c r="L123" i="29"/>
  <c r="L61" i="29"/>
  <c r="M120" i="29"/>
  <c r="M121" i="29"/>
  <c r="M122" i="29"/>
  <c r="M123" i="29"/>
  <c r="M61" i="29"/>
  <c r="N120" i="29"/>
  <c r="N121" i="29"/>
  <c r="N122" i="29"/>
  <c r="N123" i="29"/>
  <c r="N61" i="29"/>
  <c r="O120" i="29"/>
  <c r="O121" i="29"/>
  <c r="O122" i="29"/>
  <c r="O123" i="29"/>
  <c r="O61" i="29"/>
  <c r="P120" i="29"/>
  <c r="P121" i="29"/>
  <c r="P122" i="29"/>
  <c r="P123" i="29"/>
  <c r="P61" i="29"/>
  <c r="Q120" i="29"/>
  <c r="Q121" i="29"/>
  <c r="Q122" i="29"/>
  <c r="Q123" i="29"/>
  <c r="Q61" i="29"/>
  <c r="R120" i="29"/>
  <c r="R121" i="29"/>
  <c r="R122" i="29"/>
  <c r="R123" i="29"/>
  <c r="R61" i="29"/>
  <c r="S120" i="29"/>
  <c r="S121" i="29"/>
  <c r="S122" i="29"/>
  <c r="S123" i="29"/>
  <c r="S61" i="29"/>
  <c r="B57" i="29"/>
  <c r="H100" i="29"/>
  <c r="H101" i="29"/>
  <c r="I100" i="29"/>
  <c r="I101" i="29"/>
  <c r="J100" i="29"/>
  <c r="J101" i="29"/>
  <c r="K100" i="29"/>
  <c r="K101" i="29"/>
  <c r="L100" i="29"/>
  <c r="L101" i="29"/>
  <c r="L102" i="29"/>
  <c r="L52" i="29"/>
  <c r="M100" i="29"/>
  <c r="M101" i="29"/>
  <c r="M102" i="29"/>
  <c r="M52" i="29"/>
  <c r="N100" i="29"/>
  <c r="N101" i="29"/>
  <c r="N102" i="29"/>
  <c r="N52" i="29"/>
  <c r="O100" i="29"/>
  <c r="O101" i="29"/>
  <c r="O102" i="29"/>
  <c r="O52" i="29"/>
  <c r="P100" i="29"/>
  <c r="P101" i="29"/>
  <c r="P102" i="29"/>
  <c r="P52" i="29"/>
  <c r="Q100" i="29"/>
  <c r="Q101" i="29"/>
  <c r="Q102" i="29"/>
  <c r="Q52" i="29"/>
  <c r="R100" i="29"/>
  <c r="R101" i="29"/>
  <c r="R102" i="29"/>
  <c r="R52" i="29"/>
  <c r="S100" i="29"/>
  <c r="S101" i="29"/>
  <c r="S102" i="29"/>
  <c r="S52" i="29"/>
  <c r="H115" i="29"/>
  <c r="H116" i="29"/>
  <c r="H117" i="29"/>
  <c r="H118" i="29"/>
  <c r="H60" i="29"/>
  <c r="I115" i="29"/>
  <c r="I116" i="29"/>
  <c r="I117" i="29"/>
  <c r="I118" i="29"/>
  <c r="I60" i="29"/>
  <c r="J115" i="29"/>
  <c r="J116" i="29"/>
  <c r="J117" i="29"/>
  <c r="J118" i="29"/>
  <c r="J60" i="29"/>
  <c r="K115" i="29"/>
  <c r="K116" i="29"/>
  <c r="K117" i="29"/>
  <c r="K118" i="29"/>
  <c r="K60" i="29"/>
  <c r="L115" i="29"/>
  <c r="L116" i="29"/>
  <c r="L117" i="29"/>
  <c r="L118" i="29"/>
  <c r="L60" i="29"/>
  <c r="M115" i="29"/>
  <c r="M116" i="29"/>
  <c r="M117" i="29"/>
  <c r="M118" i="29"/>
  <c r="M60" i="29"/>
  <c r="N115" i="29"/>
  <c r="N116" i="29"/>
  <c r="N117" i="29"/>
  <c r="N118" i="29"/>
  <c r="N60" i="29"/>
  <c r="O115" i="29"/>
  <c r="O116" i="29"/>
  <c r="O117" i="29"/>
  <c r="O118" i="29"/>
  <c r="O60" i="29"/>
  <c r="P115" i="29"/>
  <c r="P116" i="29"/>
  <c r="P117" i="29"/>
  <c r="P118" i="29"/>
  <c r="P60" i="29"/>
  <c r="Q115" i="29"/>
  <c r="Q116" i="29"/>
  <c r="Q117" i="29"/>
  <c r="Q118" i="29"/>
  <c r="Q60" i="29"/>
  <c r="R115" i="29"/>
  <c r="R116" i="29"/>
  <c r="R117" i="29"/>
  <c r="R118" i="29"/>
  <c r="R60" i="29"/>
  <c r="S115" i="29"/>
  <c r="S116" i="29"/>
  <c r="S117" i="29"/>
  <c r="S118" i="29"/>
  <c r="S60" i="29"/>
  <c r="B56" i="29"/>
  <c r="H96" i="29"/>
  <c r="H97" i="29"/>
  <c r="I96" i="29"/>
  <c r="I97" i="29"/>
  <c r="J96" i="29"/>
  <c r="J97" i="29"/>
  <c r="K96" i="29"/>
  <c r="K97" i="29"/>
  <c r="L96" i="29"/>
  <c r="L97" i="29"/>
  <c r="L98" i="29"/>
  <c r="L51" i="29"/>
  <c r="M96" i="29"/>
  <c r="M97" i="29"/>
  <c r="M98" i="29"/>
  <c r="M51" i="29"/>
  <c r="N96" i="29"/>
  <c r="N97" i="29"/>
  <c r="N98" i="29"/>
  <c r="N51" i="29"/>
  <c r="O96" i="29"/>
  <c r="O97" i="29"/>
  <c r="O98" i="29"/>
  <c r="O51" i="29"/>
  <c r="P96" i="29"/>
  <c r="P97" i="29"/>
  <c r="P98" i="29"/>
  <c r="P51" i="29"/>
  <c r="Q96" i="29"/>
  <c r="Q97" i="29"/>
  <c r="Q98" i="29"/>
  <c r="Q51" i="29"/>
  <c r="R96" i="29"/>
  <c r="R97" i="29"/>
  <c r="R98" i="29"/>
  <c r="R51" i="29"/>
  <c r="S96" i="29"/>
  <c r="S97" i="29"/>
  <c r="S98" i="29"/>
  <c r="S51" i="29"/>
  <c r="H110" i="29"/>
  <c r="H111" i="29"/>
  <c r="H112" i="29"/>
  <c r="H113" i="29"/>
  <c r="H59" i="29"/>
  <c r="I110" i="29"/>
  <c r="I111" i="29"/>
  <c r="I112" i="29"/>
  <c r="I113" i="29"/>
  <c r="I59" i="29"/>
  <c r="J110" i="29"/>
  <c r="J111" i="29"/>
  <c r="J112" i="29"/>
  <c r="J113" i="29"/>
  <c r="J59" i="29"/>
  <c r="K110" i="29"/>
  <c r="K111" i="29"/>
  <c r="K112" i="29"/>
  <c r="K113" i="29"/>
  <c r="K59" i="29"/>
  <c r="L110" i="29"/>
  <c r="L111" i="29"/>
  <c r="L112" i="29"/>
  <c r="L113" i="29"/>
  <c r="L59" i="29"/>
  <c r="M110" i="29"/>
  <c r="M111" i="29"/>
  <c r="M112" i="29"/>
  <c r="M113" i="29"/>
  <c r="M59" i="29"/>
  <c r="N110" i="29"/>
  <c r="N111" i="29"/>
  <c r="N112" i="29"/>
  <c r="N113" i="29"/>
  <c r="N59" i="29"/>
  <c r="O110" i="29"/>
  <c r="O111" i="29"/>
  <c r="O112" i="29"/>
  <c r="O113" i="29"/>
  <c r="O59" i="29"/>
  <c r="P110" i="29"/>
  <c r="P111" i="29"/>
  <c r="P112" i="29"/>
  <c r="P113" i="29"/>
  <c r="P59" i="29"/>
  <c r="Q110" i="29"/>
  <c r="Q111" i="29"/>
  <c r="Q112" i="29"/>
  <c r="Q113" i="29"/>
  <c r="Q59" i="29"/>
  <c r="R110" i="29"/>
  <c r="R111" i="29"/>
  <c r="R112" i="29"/>
  <c r="R113" i="29"/>
  <c r="R59" i="29"/>
  <c r="S110" i="29"/>
  <c r="S111" i="29"/>
  <c r="S112" i="29"/>
  <c r="S113" i="29"/>
  <c r="S59" i="29"/>
  <c r="B55" i="29"/>
  <c r="H103" i="28"/>
  <c r="H104" i="28"/>
  <c r="I103" i="28"/>
  <c r="I104" i="28"/>
  <c r="J103" i="28"/>
  <c r="J104" i="28"/>
  <c r="K103" i="28"/>
  <c r="K104" i="28"/>
  <c r="L103" i="28"/>
  <c r="L104" i="28"/>
  <c r="L105" i="28"/>
  <c r="L52" i="28"/>
  <c r="M103" i="28"/>
  <c r="M104" i="28"/>
  <c r="M105" i="28"/>
  <c r="M52" i="28"/>
  <c r="N103" i="28"/>
  <c r="N104" i="28"/>
  <c r="N105" i="28"/>
  <c r="N52" i="28"/>
  <c r="O103" i="28"/>
  <c r="O104" i="28"/>
  <c r="O105" i="28"/>
  <c r="O52" i="28"/>
  <c r="P103" i="28"/>
  <c r="P104" i="28"/>
  <c r="P105" i="28"/>
  <c r="P52" i="28"/>
  <c r="Q103" i="28"/>
  <c r="Q104" i="28"/>
  <c r="Q105" i="28"/>
  <c r="Q52" i="28"/>
  <c r="R103" i="28"/>
  <c r="R104" i="28"/>
  <c r="R105" i="28"/>
  <c r="R52" i="28"/>
  <c r="S103" i="28"/>
  <c r="S104" i="28"/>
  <c r="S105" i="28"/>
  <c r="S52" i="28"/>
  <c r="H119" i="28"/>
  <c r="H120" i="28"/>
  <c r="H121" i="28"/>
  <c r="H122" i="28"/>
  <c r="H60" i="28"/>
  <c r="I119" i="28"/>
  <c r="I120" i="28"/>
  <c r="I121" i="28"/>
  <c r="I122" i="28"/>
  <c r="I60" i="28"/>
  <c r="J119" i="28"/>
  <c r="J120" i="28"/>
  <c r="J121" i="28"/>
  <c r="J122" i="28"/>
  <c r="J60" i="28"/>
  <c r="K119" i="28"/>
  <c r="K120" i="28"/>
  <c r="K121" i="28"/>
  <c r="K122" i="28"/>
  <c r="K60" i="28"/>
  <c r="L119" i="28"/>
  <c r="L120" i="28"/>
  <c r="L121" i="28"/>
  <c r="L122" i="28"/>
  <c r="L60" i="28"/>
  <c r="M119" i="28"/>
  <c r="M120" i="28"/>
  <c r="M121" i="28"/>
  <c r="M122" i="28"/>
  <c r="M60" i="28"/>
  <c r="N119" i="28"/>
  <c r="N120" i="28"/>
  <c r="N121" i="28"/>
  <c r="N122" i="28"/>
  <c r="N60" i="28"/>
  <c r="O119" i="28"/>
  <c r="O120" i="28"/>
  <c r="O121" i="28"/>
  <c r="O122" i="28"/>
  <c r="O60" i="28"/>
  <c r="P119" i="28"/>
  <c r="P120" i="28"/>
  <c r="P121" i="28"/>
  <c r="P122" i="28"/>
  <c r="P60" i="28"/>
  <c r="Q119" i="28"/>
  <c r="Q120" i="28"/>
  <c r="Q121" i="28"/>
  <c r="Q122" i="28"/>
  <c r="Q60" i="28"/>
  <c r="R119" i="28"/>
  <c r="R120" i="28"/>
  <c r="R121" i="28"/>
  <c r="R122" i="28"/>
  <c r="R60" i="28"/>
  <c r="S119" i="28"/>
  <c r="S120" i="28"/>
  <c r="S121" i="28"/>
  <c r="S122" i="28"/>
  <c r="S60" i="28"/>
  <c r="B57" i="28"/>
  <c r="H99" i="28"/>
  <c r="H100" i="28"/>
  <c r="I99" i="28"/>
  <c r="I100" i="28"/>
  <c r="I101" i="28" s="1"/>
  <c r="I51" i="28" s="1"/>
  <c r="J99" i="28"/>
  <c r="J100" i="28"/>
  <c r="K99" i="28"/>
  <c r="K100" i="28"/>
  <c r="L99" i="28"/>
  <c r="L100" i="28"/>
  <c r="L101" i="28"/>
  <c r="L51" i="28"/>
  <c r="M99" i="28"/>
  <c r="M100" i="28"/>
  <c r="M101" i="28"/>
  <c r="M51" i="28"/>
  <c r="N99" i="28"/>
  <c r="N100" i="28"/>
  <c r="N101" i="28"/>
  <c r="N51" i="28"/>
  <c r="O99" i="28"/>
  <c r="O100" i="28"/>
  <c r="O101" i="28"/>
  <c r="O51" i="28"/>
  <c r="P99" i="28"/>
  <c r="P100" i="28"/>
  <c r="P101" i="28"/>
  <c r="P51" i="28"/>
  <c r="Q99" i="28"/>
  <c r="Q100" i="28"/>
  <c r="Q101" i="28"/>
  <c r="Q51" i="28"/>
  <c r="R99" i="28"/>
  <c r="R100" i="28"/>
  <c r="R101" i="28"/>
  <c r="R51" i="28"/>
  <c r="S99" i="28"/>
  <c r="S100" i="28"/>
  <c r="S101" i="28"/>
  <c r="S51" i="28"/>
  <c r="H114" i="28"/>
  <c r="H115" i="28"/>
  <c r="H116" i="28"/>
  <c r="H117" i="28"/>
  <c r="H59" i="28"/>
  <c r="I114" i="28"/>
  <c r="I115" i="28"/>
  <c r="I116" i="28"/>
  <c r="I117" i="28"/>
  <c r="I59" i="28"/>
  <c r="J114" i="28"/>
  <c r="J115" i="28"/>
  <c r="J116" i="28"/>
  <c r="J117" i="28"/>
  <c r="J59" i="28"/>
  <c r="K114" i="28"/>
  <c r="K115" i="28"/>
  <c r="K116" i="28"/>
  <c r="K117" i="28"/>
  <c r="K59" i="28"/>
  <c r="L114" i="28"/>
  <c r="L115" i="28"/>
  <c r="L116" i="28"/>
  <c r="L117" i="28"/>
  <c r="L59" i="28"/>
  <c r="M114" i="28"/>
  <c r="M115" i="28"/>
  <c r="M116" i="28"/>
  <c r="M117" i="28"/>
  <c r="M59" i="28"/>
  <c r="N114" i="28"/>
  <c r="N115" i="28"/>
  <c r="N116" i="28"/>
  <c r="N117" i="28"/>
  <c r="N59" i="28"/>
  <c r="O114" i="28"/>
  <c r="O115" i="28"/>
  <c r="O116" i="28"/>
  <c r="O117" i="28"/>
  <c r="O59" i="28"/>
  <c r="P114" i="28"/>
  <c r="P115" i="28"/>
  <c r="P116" i="28"/>
  <c r="P117" i="28"/>
  <c r="P59" i="28"/>
  <c r="Q114" i="28"/>
  <c r="Q115" i="28"/>
  <c r="Q116" i="28"/>
  <c r="Q117" i="28"/>
  <c r="Q59" i="28"/>
  <c r="R114" i="28"/>
  <c r="R115" i="28"/>
  <c r="R116" i="28"/>
  <c r="R117" i="28"/>
  <c r="R59" i="28"/>
  <c r="S114" i="28"/>
  <c r="S115" i="28"/>
  <c r="S116" i="28"/>
  <c r="S117" i="28"/>
  <c r="S59" i="28"/>
  <c r="B56" i="28"/>
  <c r="H95" i="28"/>
  <c r="H96" i="28"/>
  <c r="I95" i="28"/>
  <c r="I96" i="28"/>
  <c r="J95" i="28"/>
  <c r="J96" i="28"/>
  <c r="K95" i="28"/>
  <c r="K96" i="28"/>
  <c r="L95" i="28"/>
  <c r="L96" i="28"/>
  <c r="L97" i="28"/>
  <c r="L50" i="28"/>
  <c r="M95" i="28"/>
  <c r="M96" i="28"/>
  <c r="M97" i="28"/>
  <c r="M50" i="28"/>
  <c r="N95" i="28"/>
  <c r="N96" i="28"/>
  <c r="N97" i="28"/>
  <c r="N50" i="28"/>
  <c r="O95" i="28"/>
  <c r="O96" i="28"/>
  <c r="O97" i="28"/>
  <c r="O50" i="28"/>
  <c r="P95" i="28"/>
  <c r="P96" i="28"/>
  <c r="P97" i="28"/>
  <c r="P50" i="28"/>
  <c r="Q95" i="28"/>
  <c r="Q96" i="28"/>
  <c r="Q97" i="28"/>
  <c r="Q50" i="28"/>
  <c r="R95" i="28"/>
  <c r="R96" i="28"/>
  <c r="R97" i="28"/>
  <c r="R50" i="28"/>
  <c r="S95" i="28"/>
  <c r="S96" i="28"/>
  <c r="S97" i="28"/>
  <c r="S50" i="28"/>
  <c r="H109" i="28"/>
  <c r="H110" i="28"/>
  <c r="H111" i="28"/>
  <c r="H112" i="28"/>
  <c r="H58" i="28"/>
  <c r="I109" i="28"/>
  <c r="I110" i="28"/>
  <c r="I111" i="28"/>
  <c r="I112" i="28"/>
  <c r="I58" i="28"/>
  <c r="J109" i="28"/>
  <c r="J110" i="28"/>
  <c r="J111" i="28"/>
  <c r="J112" i="28"/>
  <c r="J58" i="28"/>
  <c r="K109" i="28"/>
  <c r="K110" i="28"/>
  <c r="K111" i="28"/>
  <c r="K112" i="28"/>
  <c r="K58" i="28"/>
  <c r="L109" i="28"/>
  <c r="L110" i="28"/>
  <c r="L111" i="28"/>
  <c r="L112" i="28"/>
  <c r="L58" i="28"/>
  <c r="M109" i="28"/>
  <c r="M110" i="28"/>
  <c r="M111" i="28"/>
  <c r="M112" i="28"/>
  <c r="M58" i="28"/>
  <c r="N109" i="28"/>
  <c r="N110" i="28"/>
  <c r="N111" i="28"/>
  <c r="N112" i="28"/>
  <c r="N58" i="28"/>
  <c r="O109" i="28"/>
  <c r="O110" i="28"/>
  <c r="O111" i="28"/>
  <c r="O112" i="28"/>
  <c r="O58" i="28"/>
  <c r="P109" i="28"/>
  <c r="P110" i="28"/>
  <c r="P111" i="28"/>
  <c r="P112" i="28"/>
  <c r="P58" i="28"/>
  <c r="Q109" i="28"/>
  <c r="Q110" i="28"/>
  <c r="Q111" i="28"/>
  <c r="Q112" i="28"/>
  <c r="Q58" i="28"/>
  <c r="R109" i="28"/>
  <c r="R110" i="28"/>
  <c r="R111" i="28"/>
  <c r="R112" i="28"/>
  <c r="R58" i="28"/>
  <c r="S109" i="28"/>
  <c r="S110" i="28"/>
  <c r="S111" i="28"/>
  <c r="S112" i="28"/>
  <c r="S58" i="28"/>
  <c r="B55" i="28"/>
  <c r="H104" i="27"/>
  <c r="H105" i="27"/>
  <c r="I104" i="27"/>
  <c r="I105" i="27"/>
  <c r="J104" i="27"/>
  <c r="J105" i="27"/>
  <c r="K104" i="27"/>
  <c r="K105" i="27"/>
  <c r="L104" i="27"/>
  <c r="L105" i="27"/>
  <c r="L106" i="27"/>
  <c r="L53" i="27"/>
  <c r="M104" i="27"/>
  <c r="M105" i="27"/>
  <c r="M106" i="27"/>
  <c r="M53" i="27"/>
  <c r="N104" i="27"/>
  <c r="N105" i="27"/>
  <c r="N106" i="27"/>
  <c r="N53" i="27"/>
  <c r="O104" i="27"/>
  <c r="O105" i="27"/>
  <c r="O106" i="27"/>
  <c r="O53" i="27"/>
  <c r="P104" i="27"/>
  <c r="P105" i="27"/>
  <c r="P106" i="27"/>
  <c r="P53" i="27"/>
  <c r="Q104" i="27"/>
  <c r="Q105" i="27"/>
  <c r="Q106" i="27"/>
  <c r="Q53" i="27"/>
  <c r="R104" i="27"/>
  <c r="R105" i="27"/>
  <c r="R106" i="27"/>
  <c r="R53" i="27"/>
  <c r="S104" i="27"/>
  <c r="S105" i="27"/>
  <c r="S106" i="27"/>
  <c r="S53" i="27"/>
  <c r="H120" i="27"/>
  <c r="H121" i="27"/>
  <c r="H122" i="27"/>
  <c r="H123" i="27"/>
  <c r="H61" i="27"/>
  <c r="I120" i="27"/>
  <c r="I121" i="27"/>
  <c r="I122" i="27"/>
  <c r="I123" i="27"/>
  <c r="I61" i="27"/>
  <c r="J120" i="27"/>
  <c r="J121" i="27"/>
  <c r="J122" i="27"/>
  <c r="J123" i="27"/>
  <c r="J61" i="27"/>
  <c r="K120" i="27"/>
  <c r="K121" i="27"/>
  <c r="K122" i="27"/>
  <c r="K123" i="27"/>
  <c r="K61" i="27"/>
  <c r="L120" i="27"/>
  <c r="L121" i="27"/>
  <c r="L122" i="27"/>
  <c r="L123" i="27"/>
  <c r="L61" i="27"/>
  <c r="M120" i="27"/>
  <c r="M121" i="27"/>
  <c r="M122" i="27"/>
  <c r="M123" i="27"/>
  <c r="M61" i="27"/>
  <c r="N120" i="27"/>
  <c r="N121" i="27"/>
  <c r="N122" i="27"/>
  <c r="N123" i="27"/>
  <c r="N61" i="27"/>
  <c r="O120" i="27"/>
  <c r="O121" i="27"/>
  <c r="O122" i="27"/>
  <c r="O123" i="27"/>
  <c r="O61" i="27"/>
  <c r="P120" i="27"/>
  <c r="P121" i="27"/>
  <c r="P122" i="27"/>
  <c r="P123" i="27"/>
  <c r="P61" i="27"/>
  <c r="Q120" i="27"/>
  <c r="Q121" i="27"/>
  <c r="Q122" i="27"/>
  <c r="Q123" i="27"/>
  <c r="Q61" i="27"/>
  <c r="R120" i="27"/>
  <c r="R121" i="27"/>
  <c r="R122" i="27"/>
  <c r="R123" i="27"/>
  <c r="R61" i="27"/>
  <c r="S120" i="27"/>
  <c r="S121" i="27"/>
  <c r="S122" i="27"/>
  <c r="S123" i="27"/>
  <c r="S61" i="27"/>
  <c r="B57" i="27"/>
  <c r="H100" i="27"/>
  <c r="H101" i="27"/>
  <c r="I100" i="27"/>
  <c r="I101" i="27"/>
  <c r="J100" i="27"/>
  <c r="J101" i="27"/>
  <c r="K100" i="27"/>
  <c r="K101" i="27"/>
  <c r="L100" i="27"/>
  <c r="L101" i="27"/>
  <c r="L102" i="27"/>
  <c r="L52" i="27"/>
  <c r="M100" i="27"/>
  <c r="M101" i="27"/>
  <c r="M102" i="27"/>
  <c r="M52" i="27"/>
  <c r="N100" i="27"/>
  <c r="N101" i="27"/>
  <c r="N102" i="27"/>
  <c r="N52" i="27"/>
  <c r="O100" i="27"/>
  <c r="O101" i="27"/>
  <c r="O102" i="27"/>
  <c r="O52" i="27"/>
  <c r="P100" i="27"/>
  <c r="P101" i="27"/>
  <c r="P102" i="27"/>
  <c r="P52" i="27"/>
  <c r="Q100" i="27"/>
  <c r="Q101" i="27"/>
  <c r="Q102" i="27"/>
  <c r="Q52" i="27"/>
  <c r="R100" i="27"/>
  <c r="R101" i="27"/>
  <c r="R102" i="27"/>
  <c r="R52" i="27"/>
  <c r="S100" i="27"/>
  <c r="S101" i="27"/>
  <c r="S102" i="27"/>
  <c r="S52" i="27"/>
  <c r="H115" i="27"/>
  <c r="H116" i="27"/>
  <c r="H117" i="27"/>
  <c r="H118" i="27"/>
  <c r="H60" i="27"/>
  <c r="I115" i="27"/>
  <c r="I116" i="27"/>
  <c r="I117" i="27"/>
  <c r="I118" i="27"/>
  <c r="I60" i="27"/>
  <c r="J115" i="27"/>
  <c r="J116" i="27"/>
  <c r="J117" i="27"/>
  <c r="J118" i="27"/>
  <c r="J60" i="27"/>
  <c r="K115" i="27"/>
  <c r="K116" i="27"/>
  <c r="K117" i="27"/>
  <c r="K118" i="27"/>
  <c r="K60" i="27"/>
  <c r="L115" i="27"/>
  <c r="L116" i="27"/>
  <c r="L117" i="27"/>
  <c r="L118" i="27"/>
  <c r="L60" i="27"/>
  <c r="M115" i="27"/>
  <c r="M116" i="27"/>
  <c r="M117" i="27"/>
  <c r="M118" i="27"/>
  <c r="M60" i="27"/>
  <c r="N115" i="27"/>
  <c r="N116" i="27"/>
  <c r="N117" i="27"/>
  <c r="N118" i="27"/>
  <c r="N60" i="27"/>
  <c r="O115" i="27"/>
  <c r="O116" i="27"/>
  <c r="O117" i="27"/>
  <c r="O118" i="27"/>
  <c r="O60" i="27"/>
  <c r="P115" i="27"/>
  <c r="P116" i="27"/>
  <c r="P117" i="27"/>
  <c r="P118" i="27"/>
  <c r="P60" i="27"/>
  <c r="Q115" i="27"/>
  <c r="Q116" i="27"/>
  <c r="Q117" i="27"/>
  <c r="Q118" i="27"/>
  <c r="Q60" i="27"/>
  <c r="R115" i="27"/>
  <c r="R116" i="27"/>
  <c r="R117" i="27"/>
  <c r="R118" i="27"/>
  <c r="R60" i="27"/>
  <c r="S115" i="27"/>
  <c r="S116" i="27"/>
  <c r="S117" i="27"/>
  <c r="S118" i="27"/>
  <c r="S60" i="27"/>
  <c r="B56" i="27"/>
  <c r="H96" i="27"/>
  <c r="H97" i="27"/>
  <c r="I96" i="27"/>
  <c r="I97" i="27"/>
  <c r="J96" i="27"/>
  <c r="J97" i="27"/>
  <c r="K96" i="27"/>
  <c r="K97" i="27"/>
  <c r="L96" i="27"/>
  <c r="L97" i="27"/>
  <c r="L98" i="27"/>
  <c r="L51" i="27"/>
  <c r="M96" i="27"/>
  <c r="M97" i="27"/>
  <c r="M98" i="27"/>
  <c r="M51" i="27"/>
  <c r="N96" i="27"/>
  <c r="N97" i="27"/>
  <c r="N98" i="27"/>
  <c r="N51" i="27"/>
  <c r="O96" i="27"/>
  <c r="O97" i="27"/>
  <c r="O98" i="27"/>
  <c r="O51" i="27"/>
  <c r="P96" i="27"/>
  <c r="P97" i="27"/>
  <c r="P98" i="27"/>
  <c r="P51" i="27"/>
  <c r="Q96" i="27"/>
  <c r="Q97" i="27"/>
  <c r="Q98" i="27"/>
  <c r="Q51" i="27"/>
  <c r="R96" i="27"/>
  <c r="R97" i="27"/>
  <c r="R98" i="27"/>
  <c r="R51" i="27"/>
  <c r="S96" i="27"/>
  <c r="S97" i="27"/>
  <c r="S98" i="27"/>
  <c r="S51" i="27"/>
  <c r="H110" i="27"/>
  <c r="H111" i="27"/>
  <c r="H112" i="27"/>
  <c r="H113" i="27"/>
  <c r="H59" i="27"/>
  <c r="I110" i="27"/>
  <c r="I111" i="27"/>
  <c r="I112" i="27"/>
  <c r="I113" i="27"/>
  <c r="I59" i="27"/>
  <c r="J110" i="27"/>
  <c r="J111" i="27"/>
  <c r="J112" i="27"/>
  <c r="J113" i="27"/>
  <c r="J59" i="27"/>
  <c r="K110" i="27"/>
  <c r="K111" i="27"/>
  <c r="K112" i="27"/>
  <c r="K113" i="27"/>
  <c r="K59" i="27"/>
  <c r="L110" i="27"/>
  <c r="L111" i="27"/>
  <c r="L112" i="27"/>
  <c r="L113" i="27"/>
  <c r="L59" i="27"/>
  <c r="M110" i="27"/>
  <c r="M111" i="27"/>
  <c r="M112" i="27"/>
  <c r="M113" i="27"/>
  <c r="M59" i="27"/>
  <c r="N110" i="27"/>
  <c r="N111" i="27"/>
  <c r="N112" i="27"/>
  <c r="N113" i="27"/>
  <c r="N59" i="27"/>
  <c r="O110" i="27"/>
  <c r="O111" i="27"/>
  <c r="O112" i="27"/>
  <c r="O113" i="27"/>
  <c r="O59" i="27"/>
  <c r="P110" i="27"/>
  <c r="P111" i="27"/>
  <c r="P112" i="27"/>
  <c r="P113" i="27"/>
  <c r="P59" i="27"/>
  <c r="Q110" i="27"/>
  <c r="Q111" i="27"/>
  <c r="Q112" i="27"/>
  <c r="Q113" i="27"/>
  <c r="Q59" i="27"/>
  <c r="R110" i="27"/>
  <c r="R111" i="27"/>
  <c r="R112" i="27"/>
  <c r="R113" i="27"/>
  <c r="R59" i="27"/>
  <c r="S110" i="27"/>
  <c r="S111" i="27"/>
  <c r="S112" i="27"/>
  <c r="S113" i="27"/>
  <c r="S59" i="27"/>
  <c r="B55" i="27"/>
  <c r="H103" i="26"/>
  <c r="H104" i="26"/>
  <c r="I103" i="26"/>
  <c r="I104" i="26"/>
  <c r="J103" i="26"/>
  <c r="J104" i="26"/>
  <c r="K103" i="26"/>
  <c r="K104" i="26"/>
  <c r="L103" i="26"/>
  <c r="L104" i="26"/>
  <c r="L105" i="26"/>
  <c r="L52" i="26"/>
  <c r="M103" i="26"/>
  <c r="M104" i="26"/>
  <c r="M105" i="26"/>
  <c r="M52" i="26"/>
  <c r="N103" i="26"/>
  <c r="N104" i="26"/>
  <c r="N105" i="26"/>
  <c r="N52" i="26"/>
  <c r="O103" i="26"/>
  <c r="O104" i="26"/>
  <c r="O105" i="26"/>
  <c r="O52" i="26"/>
  <c r="P103" i="26"/>
  <c r="P104" i="26"/>
  <c r="P105" i="26"/>
  <c r="P52" i="26"/>
  <c r="Q103" i="26"/>
  <c r="Q104" i="26"/>
  <c r="Q105" i="26"/>
  <c r="Q52" i="26"/>
  <c r="R103" i="26"/>
  <c r="R104" i="26"/>
  <c r="R105" i="26"/>
  <c r="R52" i="26"/>
  <c r="S103" i="26"/>
  <c r="S104" i="26"/>
  <c r="S105" i="26"/>
  <c r="S52" i="26"/>
  <c r="H119" i="26"/>
  <c r="H120" i="26"/>
  <c r="H121" i="26"/>
  <c r="H122" i="26"/>
  <c r="H60" i="26"/>
  <c r="I119" i="26"/>
  <c r="I120" i="26"/>
  <c r="I121" i="26"/>
  <c r="I122" i="26"/>
  <c r="I60" i="26"/>
  <c r="J119" i="26"/>
  <c r="J120" i="26"/>
  <c r="J121" i="26"/>
  <c r="J122" i="26"/>
  <c r="J60" i="26"/>
  <c r="K119" i="26"/>
  <c r="K120" i="26"/>
  <c r="K121" i="26"/>
  <c r="K122" i="26"/>
  <c r="K60" i="26"/>
  <c r="L119" i="26"/>
  <c r="L120" i="26"/>
  <c r="L121" i="26"/>
  <c r="L122" i="26"/>
  <c r="L60" i="26"/>
  <c r="M119" i="26"/>
  <c r="M120" i="26"/>
  <c r="M121" i="26"/>
  <c r="M122" i="26"/>
  <c r="M60" i="26"/>
  <c r="N119" i="26"/>
  <c r="N120" i="26"/>
  <c r="N121" i="26"/>
  <c r="N122" i="26"/>
  <c r="N60" i="26"/>
  <c r="O119" i="26"/>
  <c r="O120" i="26"/>
  <c r="O121" i="26"/>
  <c r="O122" i="26"/>
  <c r="O60" i="26"/>
  <c r="P119" i="26"/>
  <c r="P120" i="26"/>
  <c r="P121" i="26"/>
  <c r="P122" i="26"/>
  <c r="P60" i="26"/>
  <c r="Q119" i="26"/>
  <c r="Q120" i="26"/>
  <c r="Q121" i="26"/>
  <c r="Q122" i="26"/>
  <c r="Q60" i="26"/>
  <c r="R119" i="26"/>
  <c r="R120" i="26"/>
  <c r="R121" i="26"/>
  <c r="R122" i="26"/>
  <c r="R60" i="26"/>
  <c r="S119" i="26"/>
  <c r="S120" i="26"/>
  <c r="S121" i="26"/>
  <c r="S122" i="26"/>
  <c r="S60" i="26"/>
  <c r="B57" i="26"/>
  <c r="H99" i="26"/>
  <c r="H100" i="26"/>
  <c r="I99" i="26"/>
  <c r="I100" i="26"/>
  <c r="J99" i="26"/>
  <c r="J100" i="26"/>
  <c r="K99" i="26"/>
  <c r="K100" i="26"/>
  <c r="L99" i="26"/>
  <c r="L100" i="26"/>
  <c r="L101" i="26"/>
  <c r="L51" i="26"/>
  <c r="M99" i="26"/>
  <c r="M100" i="26"/>
  <c r="M101" i="26"/>
  <c r="M51" i="26"/>
  <c r="N99" i="26"/>
  <c r="N100" i="26"/>
  <c r="N101" i="26"/>
  <c r="N51" i="26"/>
  <c r="O99" i="26"/>
  <c r="O100" i="26"/>
  <c r="O101" i="26"/>
  <c r="O51" i="26"/>
  <c r="P99" i="26"/>
  <c r="P100" i="26"/>
  <c r="P101" i="26"/>
  <c r="P51" i="26"/>
  <c r="Q99" i="26"/>
  <c r="Q100" i="26"/>
  <c r="Q101" i="26"/>
  <c r="Q51" i="26"/>
  <c r="R99" i="26"/>
  <c r="R100" i="26"/>
  <c r="R101" i="26"/>
  <c r="R51" i="26"/>
  <c r="S99" i="26"/>
  <c r="S100" i="26"/>
  <c r="S101" i="26"/>
  <c r="S51" i="26"/>
  <c r="H114" i="26"/>
  <c r="H115" i="26"/>
  <c r="H116" i="26"/>
  <c r="H117" i="26"/>
  <c r="H59" i="26"/>
  <c r="I114" i="26"/>
  <c r="I115" i="26"/>
  <c r="I116" i="26"/>
  <c r="I117" i="26"/>
  <c r="I59" i="26"/>
  <c r="J114" i="26"/>
  <c r="J115" i="26"/>
  <c r="J116" i="26"/>
  <c r="J117" i="26"/>
  <c r="J59" i="26"/>
  <c r="K114" i="26"/>
  <c r="K115" i="26"/>
  <c r="K116" i="26"/>
  <c r="K117" i="26"/>
  <c r="K59" i="26"/>
  <c r="L114" i="26"/>
  <c r="L115" i="26"/>
  <c r="L116" i="26"/>
  <c r="L117" i="26"/>
  <c r="L59" i="26"/>
  <c r="M114" i="26"/>
  <c r="M115" i="26"/>
  <c r="M116" i="26"/>
  <c r="M117" i="26"/>
  <c r="M59" i="26"/>
  <c r="N114" i="26"/>
  <c r="N115" i="26"/>
  <c r="N116" i="26"/>
  <c r="N117" i="26"/>
  <c r="N59" i="26"/>
  <c r="O114" i="26"/>
  <c r="O115" i="26"/>
  <c r="O116" i="26"/>
  <c r="O117" i="26"/>
  <c r="O59" i="26"/>
  <c r="P114" i="26"/>
  <c r="P115" i="26"/>
  <c r="P116" i="26"/>
  <c r="P117" i="26"/>
  <c r="P59" i="26"/>
  <c r="Q114" i="26"/>
  <c r="Q115" i="26"/>
  <c r="Q116" i="26"/>
  <c r="Q117" i="26"/>
  <c r="Q59" i="26"/>
  <c r="R114" i="26"/>
  <c r="R115" i="26"/>
  <c r="R116" i="26"/>
  <c r="R117" i="26"/>
  <c r="R59" i="26"/>
  <c r="S114" i="26"/>
  <c r="S115" i="26"/>
  <c r="S116" i="26"/>
  <c r="S117" i="26"/>
  <c r="S59" i="26"/>
  <c r="B56" i="26"/>
  <c r="H95" i="26"/>
  <c r="H96" i="26"/>
  <c r="I95" i="26"/>
  <c r="I96" i="26"/>
  <c r="J95" i="26"/>
  <c r="J96" i="26"/>
  <c r="K95" i="26"/>
  <c r="K96" i="26"/>
  <c r="L95" i="26"/>
  <c r="L96" i="26"/>
  <c r="L97" i="26"/>
  <c r="L50" i="26"/>
  <c r="M95" i="26"/>
  <c r="M96" i="26"/>
  <c r="M97" i="26"/>
  <c r="M50" i="26"/>
  <c r="N95" i="26"/>
  <c r="N96" i="26"/>
  <c r="N97" i="26"/>
  <c r="N50" i="26"/>
  <c r="O95" i="26"/>
  <c r="O96" i="26"/>
  <c r="O97" i="26"/>
  <c r="O50" i="26"/>
  <c r="P95" i="26"/>
  <c r="P96" i="26"/>
  <c r="P97" i="26"/>
  <c r="P50" i="26"/>
  <c r="Q95" i="26"/>
  <c r="Q96" i="26"/>
  <c r="Q97" i="26"/>
  <c r="Q50" i="26"/>
  <c r="R95" i="26"/>
  <c r="R96" i="26"/>
  <c r="R97" i="26"/>
  <c r="R50" i="26"/>
  <c r="S95" i="26"/>
  <c r="S96" i="26"/>
  <c r="S97" i="26"/>
  <c r="S50" i="26"/>
  <c r="H109" i="26"/>
  <c r="H110" i="26"/>
  <c r="H111" i="26"/>
  <c r="H112" i="26"/>
  <c r="H58" i="26"/>
  <c r="I109" i="26"/>
  <c r="I110" i="26"/>
  <c r="I111" i="26"/>
  <c r="I112" i="26"/>
  <c r="I58" i="26"/>
  <c r="J109" i="26"/>
  <c r="J110" i="26"/>
  <c r="J111" i="26"/>
  <c r="J112" i="26"/>
  <c r="J58" i="26"/>
  <c r="K109" i="26"/>
  <c r="K110" i="26"/>
  <c r="K111" i="26"/>
  <c r="K112" i="26"/>
  <c r="K58" i="26"/>
  <c r="L109" i="26"/>
  <c r="L110" i="26"/>
  <c r="L111" i="26"/>
  <c r="L112" i="26"/>
  <c r="L58" i="26"/>
  <c r="M109" i="26"/>
  <c r="M110" i="26"/>
  <c r="M111" i="26"/>
  <c r="M112" i="26"/>
  <c r="M58" i="26"/>
  <c r="N109" i="26"/>
  <c r="N110" i="26"/>
  <c r="N111" i="26"/>
  <c r="N112" i="26"/>
  <c r="N58" i="26"/>
  <c r="O109" i="26"/>
  <c r="O110" i="26"/>
  <c r="O111" i="26"/>
  <c r="O112" i="26"/>
  <c r="O58" i="26"/>
  <c r="P109" i="26"/>
  <c r="P110" i="26"/>
  <c r="P111" i="26"/>
  <c r="P112" i="26"/>
  <c r="P58" i="26"/>
  <c r="Q109" i="26"/>
  <c r="Q110" i="26"/>
  <c r="Q111" i="26"/>
  <c r="Q112" i="26"/>
  <c r="Q58" i="26"/>
  <c r="R109" i="26"/>
  <c r="R110" i="26"/>
  <c r="R111" i="26"/>
  <c r="R112" i="26"/>
  <c r="R58" i="26"/>
  <c r="S109" i="26"/>
  <c r="S110" i="26"/>
  <c r="S111" i="26"/>
  <c r="S112" i="26"/>
  <c r="S58" i="26"/>
  <c r="B55" i="26"/>
  <c r="H103" i="25"/>
  <c r="H104" i="25"/>
  <c r="I103" i="25"/>
  <c r="I104" i="25"/>
  <c r="J103" i="25"/>
  <c r="J104" i="25"/>
  <c r="K103" i="25"/>
  <c r="K104" i="25"/>
  <c r="L103" i="25"/>
  <c r="L104" i="25"/>
  <c r="L105" i="25"/>
  <c r="L52" i="25"/>
  <c r="M103" i="25"/>
  <c r="M104" i="25"/>
  <c r="M105" i="25"/>
  <c r="M52" i="25"/>
  <c r="N103" i="25"/>
  <c r="N104" i="25"/>
  <c r="N105" i="25"/>
  <c r="N52" i="25"/>
  <c r="O103" i="25"/>
  <c r="O104" i="25"/>
  <c r="O105" i="25"/>
  <c r="O52" i="25"/>
  <c r="P103" i="25"/>
  <c r="P104" i="25"/>
  <c r="P105" i="25"/>
  <c r="P52" i="25"/>
  <c r="Q103" i="25"/>
  <c r="Q104" i="25"/>
  <c r="Q105" i="25"/>
  <c r="Q52" i="25"/>
  <c r="R103" i="25"/>
  <c r="R104" i="25"/>
  <c r="R105" i="25"/>
  <c r="R52" i="25"/>
  <c r="S103" i="25"/>
  <c r="S104" i="25"/>
  <c r="S105" i="25"/>
  <c r="S52" i="25"/>
  <c r="H119" i="25"/>
  <c r="H120" i="25"/>
  <c r="H121" i="25"/>
  <c r="H122" i="25"/>
  <c r="H60" i="25"/>
  <c r="I119" i="25"/>
  <c r="I120" i="25"/>
  <c r="I121" i="25"/>
  <c r="I122" i="25"/>
  <c r="I60" i="25"/>
  <c r="J119" i="25"/>
  <c r="J120" i="25"/>
  <c r="J121" i="25"/>
  <c r="J122" i="25"/>
  <c r="J60" i="25"/>
  <c r="K119" i="25"/>
  <c r="K120" i="25"/>
  <c r="K121" i="25"/>
  <c r="K122" i="25"/>
  <c r="K60" i="25"/>
  <c r="L119" i="25"/>
  <c r="L120" i="25"/>
  <c r="L121" i="25"/>
  <c r="L122" i="25"/>
  <c r="L60" i="25"/>
  <c r="M119" i="25"/>
  <c r="M120" i="25"/>
  <c r="M121" i="25"/>
  <c r="M122" i="25"/>
  <c r="M60" i="25"/>
  <c r="N119" i="25"/>
  <c r="N120" i="25"/>
  <c r="N121" i="25"/>
  <c r="N122" i="25"/>
  <c r="N60" i="25"/>
  <c r="O119" i="25"/>
  <c r="O120" i="25"/>
  <c r="O121" i="25"/>
  <c r="O122" i="25"/>
  <c r="O60" i="25"/>
  <c r="P119" i="25"/>
  <c r="P120" i="25"/>
  <c r="P121" i="25"/>
  <c r="P122" i="25"/>
  <c r="P60" i="25"/>
  <c r="Q119" i="25"/>
  <c r="Q120" i="25"/>
  <c r="Q121" i="25"/>
  <c r="Q122" i="25"/>
  <c r="Q60" i="25"/>
  <c r="R119" i="25"/>
  <c r="R120" i="25"/>
  <c r="R121" i="25"/>
  <c r="R122" i="25"/>
  <c r="R60" i="25"/>
  <c r="S119" i="25"/>
  <c r="S120" i="25"/>
  <c r="S121" i="25"/>
  <c r="S122" i="25"/>
  <c r="S60" i="25"/>
  <c r="B57" i="25"/>
  <c r="H99" i="25"/>
  <c r="H100" i="25"/>
  <c r="I99" i="25"/>
  <c r="I100" i="25"/>
  <c r="J99" i="25"/>
  <c r="J100" i="25"/>
  <c r="K99" i="25"/>
  <c r="K100" i="25"/>
  <c r="L99" i="25"/>
  <c r="L100" i="25"/>
  <c r="L101" i="25"/>
  <c r="L51" i="25"/>
  <c r="M99" i="25"/>
  <c r="M100" i="25"/>
  <c r="M101" i="25"/>
  <c r="M51" i="25"/>
  <c r="N99" i="25"/>
  <c r="N100" i="25"/>
  <c r="N101" i="25"/>
  <c r="N51" i="25"/>
  <c r="O99" i="25"/>
  <c r="O100" i="25"/>
  <c r="O101" i="25"/>
  <c r="O51" i="25"/>
  <c r="P99" i="25"/>
  <c r="P100" i="25"/>
  <c r="P101" i="25"/>
  <c r="P51" i="25"/>
  <c r="Q99" i="25"/>
  <c r="Q100" i="25"/>
  <c r="Q101" i="25"/>
  <c r="Q51" i="25"/>
  <c r="R99" i="25"/>
  <c r="R100" i="25"/>
  <c r="R101" i="25"/>
  <c r="R51" i="25"/>
  <c r="S99" i="25"/>
  <c r="S100" i="25"/>
  <c r="S101" i="25"/>
  <c r="S51" i="25"/>
  <c r="H114" i="25"/>
  <c r="H115" i="25"/>
  <c r="H116" i="25"/>
  <c r="H117" i="25"/>
  <c r="H59" i="25"/>
  <c r="I114" i="25"/>
  <c r="I115" i="25"/>
  <c r="I116" i="25"/>
  <c r="I117" i="25"/>
  <c r="I59" i="25"/>
  <c r="J114" i="25"/>
  <c r="J115" i="25"/>
  <c r="J116" i="25"/>
  <c r="J117" i="25"/>
  <c r="J59" i="25"/>
  <c r="K114" i="25"/>
  <c r="K115" i="25"/>
  <c r="K116" i="25"/>
  <c r="K117" i="25"/>
  <c r="K59" i="25"/>
  <c r="L114" i="25"/>
  <c r="L115" i="25"/>
  <c r="L116" i="25"/>
  <c r="L117" i="25"/>
  <c r="L59" i="25"/>
  <c r="M114" i="25"/>
  <c r="M115" i="25"/>
  <c r="M116" i="25"/>
  <c r="M117" i="25"/>
  <c r="M59" i="25"/>
  <c r="N114" i="25"/>
  <c r="N115" i="25"/>
  <c r="N116" i="25"/>
  <c r="N117" i="25"/>
  <c r="N59" i="25"/>
  <c r="O114" i="25"/>
  <c r="O115" i="25"/>
  <c r="O116" i="25"/>
  <c r="O117" i="25"/>
  <c r="O59" i="25"/>
  <c r="P114" i="25"/>
  <c r="P115" i="25"/>
  <c r="P116" i="25"/>
  <c r="P117" i="25"/>
  <c r="P59" i="25"/>
  <c r="Q114" i="25"/>
  <c r="Q115" i="25"/>
  <c r="Q116" i="25"/>
  <c r="Q117" i="25"/>
  <c r="Q59" i="25"/>
  <c r="R114" i="25"/>
  <c r="R115" i="25"/>
  <c r="R116" i="25"/>
  <c r="R117" i="25"/>
  <c r="R59" i="25"/>
  <c r="S114" i="25"/>
  <c r="S115" i="25"/>
  <c r="S116" i="25"/>
  <c r="S117" i="25"/>
  <c r="S59" i="25"/>
  <c r="B56" i="25"/>
  <c r="H95" i="25"/>
  <c r="H96" i="25"/>
  <c r="I95" i="25"/>
  <c r="I96" i="25"/>
  <c r="J95" i="25"/>
  <c r="J96" i="25"/>
  <c r="K95" i="25"/>
  <c r="K96" i="25"/>
  <c r="K97" i="25" s="1"/>
  <c r="K50" i="25" s="1"/>
  <c r="L95" i="25"/>
  <c r="L96" i="25"/>
  <c r="L97" i="25"/>
  <c r="L50" i="25"/>
  <c r="M95" i="25"/>
  <c r="M96" i="25"/>
  <c r="M97" i="25"/>
  <c r="M50" i="25"/>
  <c r="N95" i="25"/>
  <c r="N96" i="25"/>
  <c r="N97" i="25"/>
  <c r="N50" i="25"/>
  <c r="O95" i="25"/>
  <c r="O96" i="25"/>
  <c r="O97" i="25"/>
  <c r="O50" i="25"/>
  <c r="P95" i="25"/>
  <c r="P96" i="25"/>
  <c r="P97" i="25"/>
  <c r="P50" i="25"/>
  <c r="Q95" i="25"/>
  <c r="Q96" i="25"/>
  <c r="Q97" i="25"/>
  <c r="Q50" i="25"/>
  <c r="R95" i="25"/>
  <c r="R96" i="25"/>
  <c r="R97" i="25"/>
  <c r="R50" i="25"/>
  <c r="S95" i="25"/>
  <c r="S96" i="25"/>
  <c r="S97" i="25"/>
  <c r="S50" i="25"/>
  <c r="H109" i="25"/>
  <c r="H110" i="25"/>
  <c r="H111" i="25"/>
  <c r="H112" i="25"/>
  <c r="H58" i="25"/>
  <c r="I109" i="25"/>
  <c r="I110" i="25"/>
  <c r="I111" i="25"/>
  <c r="I112" i="25"/>
  <c r="I58" i="25"/>
  <c r="J109" i="25"/>
  <c r="J110" i="25"/>
  <c r="J111" i="25"/>
  <c r="J112" i="25"/>
  <c r="J58" i="25"/>
  <c r="K109" i="25"/>
  <c r="K110" i="25"/>
  <c r="K111" i="25"/>
  <c r="K112" i="25"/>
  <c r="K58" i="25"/>
  <c r="L109" i="25"/>
  <c r="L110" i="25"/>
  <c r="L111" i="25"/>
  <c r="L112" i="25"/>
  <c r="L58" i="25"/>
  <c r="M109" i="25"/>
  <c r="M110" i="25"/>
  <c r="M111" i="25"/>
  <c r="M112" i="25"/>
  <c r="M58" i="25"/>
  <c r="N109" i="25"/>
  <c r="N110" i="25"/>
  <c r="N111" i="25"/>
  <c r="N112" i="25"/>
  <c r="N58" i="25"/>
  <c r="O109" i="25"/>
  <c r="O110" i="25"/>
  <c r="O111" i="25"/>
  <c r="O112" i="25"/>
  <c r="O58" i="25"/>
  <c r="P109" i="25"/>
  <c r="P110" i="25"/>
  <c r="P111" i="25"/>
  <c r="P112" i="25"/>
  <c r="P58" i="25"/>
  <c r="Q109" i="25"/>
  <c r="Q110" i="25"/>
  <c r="Q111" i="25"/>
  <c r="Q112" i="25"/>
  <c r="Q58" i="25"/>
  <c r="R109" i="25"/>
  <c r="R110" i="25"/>
  <c r="R111" i="25"/>
  <c r="R112" i="25"/>
  <c r="R58" i="25"/>
  <c r="S109" i="25"/>
  <c r="S110" i="25"/>
  <c r="S111" i="25"/>
  <c r="S112" i="25"/>
  <c r="S58" i="25"/>
  <c r="B55" i="25"/>
  <c r="H104" i="22"/>
  <c r="H105" i="22"/>
  <c r="I104" i="22"/>
  <c r="I105" i="22"/>
  <c r="J104" i="22"/>
  <c r="J105" i="22"/>
  <c r="K104" i="22"/>
  <c r="K105" i="22"/>
  <c r="L104" i="22"/>
  <c r="L105" i="22"/>
  <c r="L106" i="22"/>
  <c r="L53" i="22"/>
  <c r="M104" i="22"/>
  <c r="M105" i="22"/>
  <c r="M106" i="22"/>
  <c r="M53" i="22"/>
  <c r="N104" i="22"/>
  <c r="N105" i="22"/>
  <c r="N106" i="22"/>
  <c r="N53" i="22"/>
  <c r="O104" i="22"/>
  <c r="O105" i="22"/>
  <c r="O106" i="22"/>
  <c r="O53" i="22"/>
  <c r="P104" i="22"/>
  <c r="P105" i="22"/>
  <c r="P106" i="22"/>
  <c r="P53" i="22"/>
  <c r="Q104" i="22"/>
  <c r="Q105" i="22"/>
  <c r="Q106" i="22"/>
  <c r="Q53" i="22"/>
  <c r="R104" i="22"/>
  <c r="R105" i="22"/>
  <c r="R106" i="22"/>
  <c r="R53" i="22"/>
  <c r="S104" i="22"/>
  <c r="S105" i="22"/>
  <c r="S106" i="22"/>
  <c r="S53" i="22"/>
  <c r="H120" i="22"/>
  <c r="H122" i="22" s="1"/>
  <c r="H123" i="22" s="1"/>
  <c r="H61" i="22" s="1"/>
  <c r="H121" i="22"/>
  <c r="I120" i="22"/>
  <c r="I122" i="22" s="1"/>
  <c r="I123" i="22" s="1"/>
  <c r="I61" i="22" s="1"/>
  <c r="I121" i="22"/>
  <c r="J120" i="22"/>
  <c r="J122" i="22" s="1"/>
  <c r="J123" i="22" s="1"/>
  <c r="J61" i="22" s="1"/>
  <c r="J121" i="22"/>
  <c r="K120" i="22"/>
  <c r="K121" i="22"/>
  <c r="L120" i="22"/>
  <c r="L121" i="22"/>
  <c r="L122" i="22"/>
  <c r="L123" i="22"/>
  <c r="L61" i="22"/>
  <c r="M120" i="22"/>
  <c r="M121" i="22"/>
  <c r="M122" i="22"/>
  <c r="M123" i="22"/>
  <c r="M61" i="22"/>
  <c r="N120" i="22"/>
  <c r="N121" i="22"/>
  <c r="N122" i="22"/>
  <c r="N123" i="22"/>
  <c r="N61" i="22"/>
  <c r="O120" i="22"/>
  <c r="O121" i="22"/>
  <c r="O122" i="22"/>
  <c r="O123" i="22"/>
  <c r="O61" i="22"/>
  <c r="P120" i="22"/>
  <c r="P121" i="22"/>
  <c r="P122" i="22"/>
  <c r="P123" i="22"/>
  <c r="P61" i="22"/>
  <c r="Q120" i="22"/>
  <c r="Q121" i="22"/>
  <c r="Q122" i="22"/>
  <c r="Q123" i="22"/>
  <c r="Q61" i="22"/>
  <c r="R120" i="22"/>
  <c r="R121" i="22"/>
  <c r="R122" i="22"/>
  <c r="R123" i="22"/>
  <c r="R61" i="22"/>
  <c r="S120" i="22"/>
  <c r="S121" i="22"/>
  <c r="S122" i="22"/>
  <c r="S123" i="22"/>
  <c r="S61" i="22"/>
  <c r="H100" i="22"/>
  <c r="H101" i="22"/>
  <c r="I100" i="22"/>
  <c r="I101" i="22"/>
  <c r="J100" i="22"/>
  <c r="J101" i="22"/>
  <c r="K100" i="22"/>
  <c r="K101" i="22"/>
  <c r="L100" i="22"/>
  <c r="L101" i="22"/>
  <c r="L102" i="22"/>
  <c r="L52" i="22"/>
  <c r="M100" i="22"/>
  <c r="M101" i="22"/>
  <c r="M102" i="22"/>
  <c r="M52" i="22"/>
  <c r="N100" i="22"/>
  <c r="N101" i="22"/>
  <c r="N102" i="22"/>
  <c r="N52" i="22"/>
  <c r="O100" i="22"/>
  <c r="O101" i="22"/>
  <c r="O102" i="22"/>
  <c r="O52" i="22"/>
  <c r="P100" i="22"/>
  <c r="P101" i="22"/>
  <c r="P102" i="22"/>
  <c r="P52" i="22"/>
  <c r="Q100" i="22"/>
  <c r="Q101" i="22"/>
  <c r="Q102" i="22"/>
  <c r="Q52" i="22"/>
  <c r="R100" i="22"/>
  <c r="R101" i="22"/>
  <c r="R102" i="22"/>
  <c r="R52" i="22"/>
  <c r="S100" i="22"/>
  <c r="S101" i="22"/>
  <c r="S102" i="22"/>
  <c r="S52" i="22"/>
  <c r="H115" i="22"/>
  <c r="H116" i="22"/>
  <c r="H117" i="22" s="1"/>
  <c r="H118" i="22" s="1"/>
  <c r="H60" i="22" s="1"/>
  <c r="I115" i="22"/>
  <c r="I116" i="22"/>
  <c r="I117" i="22" s="1"/>
  <c r="I118" i="22" s="1"/>
  <c r="I60" i="22" s="1"/>
  <c r="J115" i="22"/>
  <c r="J116" i="22"/>
  <c r="J117" i="22"/>
  <c r="J118" i="22" s="1"/>
  <c r="J60" i="22" s="1"/>
  <c r="K115" i="22"/>
  <c r="K117" i="22" s="1"/>
  <c r="K118" i="22" s="1"/>
  <c r="K60" i="22" s="1"/>
  <c r="K116" i="22"/>
  <c r="L115" i="22"/>
  <c r="L116" i="22"/>
  <c r="L117" i="22"/>
  <c r="L118" i="22"/>
  <c r="L60" i="22"/>
  <c r="M115" i="22"/>
  <c r="M116" i="22"/>
  <c r="M117" i="22"/>
  <c r="M118" i="22"/>
  <c r="M60" i="22"/>
  <c r="N115" i="22"/>
  <c r="N116" i="22"/>
  <c r="N117" i="22"/>
  <c r="N118" i="22"/>
  <c r="N60" i="22"/>
  <c r="O115" i="22"/>
  <c r="O116" i="22"/>
  <c r="O117" i="22"/>
  <c r="O118" i="22"/>
  <c r="O60" i="22"/>
  <c r="P115" i="22"/>
  <c r="P116" i="22"/>
  <c r="P117" i="22"/>
  <c r="P118" i="22"/>
  <c r="P60" i="22"/>
  <c r="Q115" i="22"/>
  <c r="Q116" i="22"/>
  <c r="Q117" i="22"/>
  <c r="Q118" i="22"/>
  <c r="Q60" i="22"/>
  <c r="R115" i="22"/>
  <c r="R116" i="22"/>
  <c r="R117" i="22"/>
  <c r="R118" i="22"/>
  <c r="R60" i="22"/>
  <c r="S115" i="22"/>
  <c r="S116" i="22"/>
  <c r="S117" i="22"/>
  <c r="S118" i="22"/>
  <c r="S60" i="22"/>
  <c r="H104" i="24"/>
  <c r="H105" i="24"/>
  <c r="I104" i="24"/>
  <c r="I105" i="24"/>
  <c r="J104" i="24"/>
  <c r="J105" i="24"/>
  <c r="K104" i="24"/>
  <c r="K105" i="24"/>
  <c r="L104" i="24"/>
  <c r="L105" i="24"/>
  <c r="L106" i="24"/>
  <c r="L53" i="24"/>
  <c r="M104" i="24"/>
  <c r="M105" i="24"/>
  <c r="M106" i="24"/>
  <c r="M53" i="24"/>
  <c r="N104" i="24"/>
  <c r="N105" i="24"/>
  <c r="N106" i="24"/>
  <c r="N53" i="24"/>
  <c r="O104" i="24"/>
  <c r="O105" i="24"/>
  <c r="O106" i="24"/>
  <c r="O53" i="24"/>
  <c r="P104" i="24"/>
  <c r="P105" i="24"/>
  <c r="P106" i="24"/>
  <c r="P53" i="24"/>
  <c r="Q104" i="24"/>
  <c r="Q105" i="24"/>
  <c r="Q106" i="24"/>
  <c r="Q53" i="24"/>
  <c r="R104" i="24"/>
  <c r="R105" i="24"/>
  <c r="R106" i="24"/>
  <c r="R53" i="24"/>
  <c r="S104" i="24"/>
  <c r="S105" i="24"/>
  <c r="S106" i="24"/>
  <c r="S53" i="24"/>
  <c r="H120" i="24"/>
  <c r="H121" i="24"/>
  <c r="H122" i="24"/>
  <c r="H123" i="24" s="1"/>
  <c r="H61" i="24" s="1"/>
  <c r="I120" i="24"/>
  <c r="I122" i="24" s="1"/>
  <c r="I123" i="24" s="1"/>
  <c r="I61" i="24" s="1"/>
  <c r="I121" i="24"/>
  <c r="J120" i="24"/>
  <c r="J122" i="24" s="1"/>
  <c r="J123" i="24" s="1"/>
  <c r="J61" i="24" s="1"/>
  <c r="J121" i="24"/>
  <c r="K120" i="24"/>
  <c r="K122" i="24" s="1"/>
  <c r="K123" i="24" s="1"/>
  <c r="K61" i="24" s="1"/>
  <c r="K121" i="24"/>
  <c r="L120" i="24"/>
  <c r="L121" i="24"/>
  <c r="L122" i="24"/>
  <c r="L123" i="24"/>
  <c r="L61" i="24"/>
  <c r="M120" i="24"/>
  <c r="M121" i="24"/>
  <c r="M122" i="24"/>
  <c r="M123" i="24"/>
  <c r="M61" i="24"/>
  <c r="N120" i="24"/>
  <c r="N121" i="24"/>
  <c r="N122" i="24"/>
  <c r="N123" i="24"/>
  <c r="N61" i="24"/>
  <c r="O120" i="24"/>
  <c r="O121" i="24"/>
  <c r="O122" i="24"/>
  <c r="O123" i="24"/>
  <c r="O61" i="24"/>
  <c r="P120" i="24"/>
  <c r="P121" i="24"/>
  <c r="P122" i="24"/>
  <c r="P123" i="24"/>
  <c r="P61" i="24"/>
  <c r="Q120" i="24"/>
  <c r="Q121" i="24"/>
  <c r="Q122" i="24"/>
  <c r="Q123" i="24"/>
  <c r="Q61" i="24"/>
  <c r="R120" i="24"/>
  <c r="R121" i="24"/>
  <c r="R122" i="24"/>
  <c r="R123" i="24"/>
  <c r="R61" i="24"/>
  <c r="S120" i="24"/>
  <c r="S121" i="24"/>
  <c r="S122" i="24"/>
  <c r="S123" i="24"/>
  <c r="S61" i="24"/>
  <c r="H100" i="24"/>
  <c r="H101" i="24"/>
  <c r="I100" i="24"/>
  <c r="I101" i="24"/>
  <c r="J100" i="24"/>
  <c r="J101" i="24"/>
  <c r="K100" i="24"/>
  <c r="K101" i="24"/>
  <c r="L100" i="24"/>
  <c r="L101" i="24"/>
  <c r="L102" i="24"/>
  <c r="L52" i="24"/>
  <c r="M100" i="24"/>
  <c r="M101" i="24"/>
  <c r="M102" i="24"/>
  <c r="M52" i="24"/>
  <c r="N100" i="24"/>
  <c r="N101" i="24"/>
  <c r="N102" i="24"/>
  <c r="N52" i="24"/>
  <c r="O100" i="24"/>
  <c r="O101" i="24"/>
  <c r="O102" i="24"/>
  <c r="O52" i="24"/>
  <c r="P100" i="24"/>
  <c r="P101" i="24"/>
  <c r="P102" i="24"/>
  <c r="P52" i="24"/>
  <c r="Q100" i="24"/>
  <c r="Q101" i="24"/>
  <c r="Q102" i="24"/>
  <c r="Q52" i="24"/>
  <c r="R100" i="24"/>
  <c r="R101" i="24"/>
  <c r="R102" i="24"/>
  <c r="R52" i="24"/>
  <c r="S100" i="24"/>
  <c r="S101" i="24"/>
  <c r="S102" i="24"/>
  <c r="S52" i="24"/>
  <c r="H115" i="24"/>
  <c r="H117" i="24" s="1"/>
  <c r="H118" i="24" s="1"/>
  <c r="H60" i="24" s="1"/>
  <c r="H116" i="24"/>
  <c r="I115" i="24"/>
  <c r="I117" i="24" s="1"/>
  <c r="I118" i="24" s="1"/>
  <c r="I60" i="24" s="1"/>
  <c r="I116" i="24"/>
  <c r="J115" i="24"/>
  <c r="J116" i="24"/>
  <c r="K115" i="24"/>
  <c r="K116" i="24"/>
  <c r="K117" i="24"/>
  <c r="K118" i="24" s="1"/>
  <c r="K60" i="24" s="1"/>
  <c r="L115" i="24"/>
  <c r="L116" i="24"/>
  <c r="L117" i="24"/>
  <c r="L118" i="24"/>
  <c r="L60" i="24"/>
  <c r="M115" i="24"/>
  <c r="M116" i="24"/>
  <c r="M117" i="24"/>
  <c r="M118" i="24"/>
  <c r="M60" i="24"/>
  <c r="N115" i="24"/>
  <c r="N116" i="24"/>
  <c r="N117" i="24"/>
  <c r="N118" i="24"/>
  <c r="N60" i="24"/>
  <c r="O115" i="24"/>
  <c r="O116" i="24"/>
  <c r="O117" i="24"/>
  <c r="O118" i="24"/>
  <c r="O60" i="24"/>
  <c r="P115" i="24"/>
  <c r="P116" i="24"/>
  <c r="P117" i="24"/>
  <c r="P118" i="24"/>
  <c r="P60" i="24"/>
  <c r="Q115" i="24"/>
  <c r="Q116" i="24"/>
  <c r="Q117" i="24"/>
  <c r="Q118" i="24"/>
  <c r="Q60" i="24"/>
  <c r="R115" i="24"/>
  <c r="R116" i="24"/>
  <c r="R117" i="24"/>
  <c r="R118" i="24"/>
  <c r="R60" i="24"/>
  <c r="S115" i="24"/>
  <c r="S116" i="24"/>
  <c r="S117" i="24"/>
  <c r="S118" i="24"/>
  <c r="S60" i="24"/>
  <c r="H96" i="24"/>
  <c r="H97" i="24"/>
  <c r="I96" i="24"/>
  <c r="I97" i="24"/>
  <c r="J96" i="24"/>
  <c r="J97" i="24"/>
  <c r="K96" i="24"/>
  <c r="K97" i="24"/>
  <c r="L96" i="24"/>
  <c r="L97" i="24"/>
  <c r="L98" i="24"/>
  <c r="L51" i="24"/>
  <c r="M96" i="24"/>
  <c r="M97" i="24"/>
  <c r="M98" i="24"/>
  <c r="M51" i="24"/>
  <c r="N96" i="24"/>
  <c r="N97" i="24"/>
  <c r="N98" i="24"/>
  <c r="N51" i="24"/>
  <c r="O96" i="24"/>
  <c r="O97" i="24"/>
  <c r="O98" i="24"/>
  <c r="O51" i="24"/>
  <c r="P96" i="24"/>
  <c r="P97" i="24"/>
  <c r="P98" i="24"/>
  <c r="P51" i="24"/>
  <c r="Q96" i="24"/>
  <c r="Q97" i="24"/>
  <c r="Q98" i="24"/>
  <c r="Q51" i="24"/>
  <c r="R96" i="24"/>
  <c r="R97" i="24"/>
  <c r="R98" i="24"/>
  <c r="R51" i="24"/>
  <c r="S96" i="24"/>
  <c r="S97" i="24"/>
  <c r="S98" i="24"/>
  <c r="S51" i="24"/>
  <c r="H110" i="24"/>
  <c r="H112" i="24" s="1"/>
  <c r="H113" i="24" s="1"/>
  <c r="H59" i="24" s="1"/>
  <c r="H111" i="24"/>
  <c r="I110" i="24"/>
  <c r="I112" i="24" s="1"/>
  <c r="I113" i="24" s="1"/>
  <c r="I59" i="24" s="1"/>
  <c r="I111" i="24"/>
  <c r="J110" i="24"/>
  <c r="J112" i="24" s="1"/>
  <c r="J113" i="24" s="1"/>
  <c r="J59" i="24" s="1"/>
  <c r="J111" i="24"/>
  <c r="K110" i="24"/>
  <c r="K112" i="24" s="1"/>
  <c r="K113" i="24" s="1"/>
  <c r="K59" i="24" s="1"/>
  <c r="K111" i="24"/>
  <c r="L110" i="24"/>
  <c r="L111" i="24"/>
  <c r="L112" i="24"/>
  <c r="L113" i="24"/>
  <c r="L59" i="24"/>
  <c r="M110" i="24"/>
  <c r="M111" i="24"/>
  <c r="M112" i="24"/>
  <c r="M113" i="24"/>
  <c r="M59" i="24"/>
  <c r="N110" i="24"/>
  <c r="N111" i="24"/>
  <c r="N112" i="24"/>
  <c r="N113" i="24"/>
  <c r="N59" i="24"/>
  <c r="O110" i="24"/>
  <c r="O111" i="24"/>
  <c r="O112" i="24"/>
  <c r="O113" i="24"/>
  <c r="O59" i="24"/>
  <c r="P110" i="24"/>
  <c r="P111" i="24"/>
  <c r="P112" i="24"/>
  <c r="P113" i="24"/>
  <c r="P59" i="24"/>
  <c r="Q110" i="24"/>
  <c r="Q111" i="24"/>
  <c r="Q112" i="24"/>
  <c r="Q113" i="24"/>
  <c r="Q59" i="24"/>
  <c r="R110" i="24"/>
  <c r="R111" i="24"/>
  <c r="R112" i="24"/>
  <c r="R113" i="24"/>
  <c r="R59" i="24"/>
  <c r="S110" i="24"/>
  <c r="S111" i="24"/>
  <c r="S112" i="24"/>
  <c r="S113" i="24"/>
  <c r="S59" i="24"/>
  <c r="H96" i="22"/>
  <c r="H97" i="22"/>
  <c r="I96" i="22"/>
  <c r="I97" i="22"/>
  <c r="J96" i="22"/>
  <c r="J97" i="22"/>
  <c r="K96" i="22"/>
  <c r="K97" i="22"/>
  <c r="L96" i="22"/>
  <c r="L97" i="22"/>
  <c r="L98" i="22"/>
  <c r="L51" i="22"/>
  <c r="M96" i="22"/>
  <c r="M97" i="22"/>
  <c r="M98" i="22"/>
  <c r="M51" i="22"/>
  <c r="N96" i="22"/>
  <c r="N97" i="22"/>
  <c r="N98" i="22"/>
  <c r="N51" i="22"/>
  <c r="O96" i="22"/>
  <c r="O97" i="22"/>
  <c r="O98" i="22"/>
  <c r="O51" i="22"/>
  <c r="P96" i="22"/>
  <c r="P97" i="22"/>
  <c r="P98" i="22"/>
  <c r="P51" i="22"/>
  <c r="Q96" i="22"/>
  <c r="Q97" i="22"/>
  <c r="Q98" i="22"/>
  <c r="Q51" i="22"/>
  <c r="R96" i="22"/>
  <c r="R97" i="22"/>
  <c r="R98" i="22"/>
  <c r="R51" i="22"/>
  <c r="S96" i="22"/>
  <c r="S97" i="22"/>
  <c r="S98" i="22"/>
  <c r="S51" i="22"/>
  <c r="H110" i="22"/>
  <c r="H111" i="22"/>
  <c r="H112" i="22" s="1"/>
  <c r="H113" i="22" s="1"/>
  <c r="H59" i="22" s="1"/>
  <c r="I110" i="22"/>
  <c r="I112" i="22" s="1"/>
  <c r="I113" i="22" s="1"/>
  <c r="I59" i="22" s="1"/>
  <c r="I111" i="22"/>
  <c r="J110" i="22"/>
  <c r="J111" i="22"/>
  <c r="J112" i="22"/>
  <c r="J113" i="22" s="1"/>
  <c r="J59" i="22" s="1"/>
  <c r="K110" i="22"/>
  <c r="K111" i="22"/>
  <c r="K112" i="22"/>
  <c r="K113" i="22" s="1"/>
  <c r="K59" i="22" s="1"/>
  <c r="L110" i="22"/>
  <c r="L111" i="22"/>
  <c r="L112" i="22"/>
  <c r="L113" i="22"/>
  <c r="L59" i="22"/>
  <c r="M110" i="22"/>
  <c r="M111" i="22"/>
  <c r="M112" i="22"/>
  <c r="M113" i="22"/>
  <c r="M59" i="22"/>
  <c r="N110" i="22"/>
  <c r="N111" i="22"/>
  <c r="N112" i="22"/>
  <c r="N113" i="22"/>
  <c r="N59" i="22"/>
  <c r="O110" i="22"/>
  <c r="O111" i="22"/>
  <c r="O112" i="22"/>
  <c r="O113" i="22"/>
  <c r="O59" i="22"/>
  <c r="P110" i="22"/>
  <c r="P111" i="22"/>
  <c r="P112" i="22"/>
  <c r="P113" i="22"/>
  <c r="P59" i="22"/>
  <c r="Q110" i="22"/>
  <c r="Q111" i="22"/>
  <c r="Q112" i="22"/>
  <c r="Q113" i="22"/>
  <c r="Q59" i="22"/>
  <c r="R110" i="22"/>
  <c r="R111" i="22"/>
  <c r="R112" i="22"/>
  <c r="R113" i="22"/>
  <c r="R59" i="22"/>
  <c r="S110" i="22"/>
  <c r="S111" i="22"/>
  <c r="S112" i="22"/>
  <c r="S113" i="22"/>
  <c r="S59" i="22"/>
  <c r="H104" i="21"/>
  <c r="H105" i="21"/>
  <c r="I104" i="21"/>
  <c r="I105" i="21"/>
  <c r="J104" i="21"/>
  <c r="J105" i="21"/>
  <c r="K104" i="21"/>
  <c r="K105"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20" i="21"/>
  <c r="H121" i="21"/>
  <c r="H122" i="21" s="1"/>
  <c r="H123" i="21" s="1"/>
  <c r="H61" i="21" s="1"/>
  <c r="I120" i="21"/>
  <c r="I121" i="21"/>
  <c r="I122" i="21" s="1"/>
  <c r="I123" i="21" s="1"/>
  <c r="I61" i="21" s="1"/>
  <c r="J120" i="21"/>
  <c r="J121" i="21"/>
  <c r="J122" i="21" s="1"/>
  <c r="J123" i="21" s="1"/>
  <c r="J61" i="21" s="1"/>
  <c r="K120" i="21"/>
  <c r="K121" i="21"/>
  <c r="K122" i="21"/>
  <c r="K123" i="21" s="1"/>
  <c r="K61" i="21" s="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00" i="21"/>
  <c r="H101" i="21"/>
  <c r="I100" i="21"/>
  <c r="I101" i="21"/>
  <c r="J100" i="21"/>
  <c r="J101" i="21"/>
  <c r="K100" i="21"/>
  <c r="K101"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H115" i="21"/>
  <c r="H116" i="21"/>
  <c r="H117" i="21" s="1"/>
  <c r="H118" i="21" s="1"/>
  <c r="H60" i="21" s="1"/>
  <c r="I115" i="21"/>
  <c r="I116" i="21"/>
  <c r="I117" i="21" s="1"/>
  <c r="I118" i="21" s="1"/>
  <c r="I60" i="21" s="1"/>
  <c r="J115" i="21"/>
  <c r="J116" i="21"/>
  <c r="J117" i="21" s="1"/>
  <c r="J118" i="21" s="1"/>
  <c r="J60" i="21" s="1"/>
  <c r="K115" i="21"/>
  <c r="K116" i="21"/>
  <c r="K117" i="21"/>
  <c r="K118" i="21" s="1"/>
  <c r="K60" i="21" s="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H96" i="21"/>
  <c r="H97" i="21"/>
  <c r="I96" i="21"/>
  <c r="I97" i="21"/>
  <c r="J96" i="21"/>
  <c r="J97" i="21"/>
  <c r="K96" i="21"/>
  <c r="K97"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H110" i="21"/>
  <c r="H111" i="21"/>
  <c r="H112" i="21"/>
  <c r="H113" i="21" s="1"/>
  <c r="H59" i="21" s="1"/>
  <c r="I110" i="21"/>
  <c r="I111" i="21"/>
  <c r="I112" i="21"/>
  <c r="I113" i="21" s="1"/>
  <c r="I59" i="21" s="1"/>
  <c r="J110" i="21"/>
  <c r="J111" i="21"/>
  <c r="K110" i="21"/>
  <c r="K111"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H104" i="30"/>
  <c r="H105" i="30"/>
  <c r="I104" i="30"/>
  <c r="I105" i="30"/>
  <c r="J104" i="30"/>
  <c r="J105" i="30"/>
  <c r="K104" i="30"/>
  <c r="K105" i="30"/>
  <c r="L104" i="30"/>
  <c r="L105" i="30"/>
  <c r="L106" i="30"/>
  <c r="L53" i="30"/>
  <c r="M104" i="30"/>
  <c r="M105" i="30"/>
  <c r="M106" i="30"/>
  <c r="M53" i="30"/>
  <c r="N104" i="30"/>
  <c r="N105" i="30"/>
  <c r="N106" i="30"/>
  <c r="N53" i="30"/>
  <c r="O104" i="30"/>
  <c r="O105" i="30"/>
  <c r="O106" i="30"/>
  <c r="O53" i="30"/>
  <c r="P104" i="30"/>
  <c r="P105" i="30"/>
  <c r="P106" i="30"/>
  <c r="P53" i="30"/>
  <c r="Q104" i="30"/>
  <c r="Q105" i="30"/>
  <c r="Q106" i="30"/>
  <c r="Q53" i="30"/>
  <c r="R104" i="30"/>
  <c r="R105" i="30"/>
  <c r="R106" i="30"/>
  <c r="R53" i="30"/>
  <c r="S104" i="30"/>
  <c r="S105" i="30"/>
  <c r="S106" i="30"/>
  <c r="S53" i="30"/>
  <c r="H120" i="30"/>
  <c r="H121" i="30"/>
  <c r="H122" i="30"/>
  <c r="H123" i="30"/>
  <c r="H61" i="30"/>
  <c r="I120" i="30"/>
  <c r="I121" i="30"/>
  <c r="I122" i="30"/>
  <c r="I123" i="30"/>
  <c r="I61" i="30"/>
  <c r="J120" i="30"/>
  <c r="J121" i="30"/>
  <c r="J122" i="30"/>
  <c r="J123" i="30"/>
  <c r="J61" i="30"/>
  <c r="K120" i="30"/>
  <c r="K121" i="30"/>
  <c r="K122" i="30"/>
  <c r="K123" i="30"/>
  <c r="K61" i="30"/>
  <c r="L120" i="30"/>
  <c r="L121" i="30"/>
  <c r="L122" i="30"/>
  <c r="L123" i="30"/>
  <c r="L61" i="30"/>
  <c r="M120" i="30"/>
  <c r="M121" i="30"/>
  <c r="M122" i="30"/>
  <c r="M123" i="30"/>
  <c r="M61" i="30"/>
  <c r="N120" i="30"/>
  <c r="N121" i="30"/>
  <c r="N122" i="30"/>
  <c r="N123" i="30"/>
  <c r="N61" i="30"/>
  <c r="O120" i="30"/>
  <c r="O121" i="30"/>
  <c r="O122" i="30"/>
  <c r="O123" i="30"/>
  <c r="O61" i="30"/>
  <c r="P120" i="30"/>
  <c r="P121" i="30"/>
  <c r="P122" i="30"/>
  <c r="P123" i="30"/>
  <c r="P61" i="30"/>
  <c r="Q120" i="30"/>
  <c r="Q121" i="30"/>
  <c r="Q122" i="30"/>
  <c r="Q123" i="30"/>
  <c r="Q61" i="30"/>
  <c r="R120" i="30"/>
  <c r="R121" i="30"/>
  <c r="R122" i="30"/>
  <c r="R123" i="30"/>
  <c r="R61" i="30"/>
  <c r="S120" i="30"/>
  <c r="S121" i="30"/>
  <c r="S122" i="30"/>
  <c r="S123" i="30"/>
  <c r="S61" i="30"/>
  <c r="B57" i="30"/>
  <c r="B18" i="21"/>
  <c r="B17" i="21"/>
  <c r="B19" i="21"/>
  <c r="B16" i="21"/>
  <c r="F17" i="8"/>
  <c r="D14" i="8"/>
  <c r="F19" i="8"/>
  <c r="E37" i="18"/>
  <c r="E38" i="18"/>
  <c r="D20" i="21"/>
  <c r="C26" i="21"/>
  <c r="B26" i="21"/>
  <c r="H22" i="18"/>
  <c r="F22" i="18"/>
  <c r="E39" i="18"/>
  <c r="A314" i="18"/>
  <c r="A281" i="18"/>
  <c r="A248" i="18"/>
  <c r="B11" i="28"/>
  <c r="A215" i="18"/>
  <c r="A182" i="18"/>
  <c r="B13" i="26"/>
  <c r="B14" i="26"/>
  <c r="B15" i="26"/>
  <c r="B16" i="26"/>
  <c r="H6" i="26"/>
  <c r="H161" i="18"/>
  <c r="A149" i="18"/>
  <c r="A116" i="18"/>
  <c r="B11" i="24"/>
  <c r="G9" i="24" s="1"/>
  <c r="A83" i="18"/>
  <c r="A50" i="18"/>
  <c r="B20" i="21"/>
  <c r="B9" i="21"/>
  <c r="B11" i="27"/>
  <c r="B12" i="28"/>
  <c r="B15" i="27"/>
  <c r="B14" i="27"/>
  <c r="B13" i="27"/>
  <c r="D20" i="27"/>
  <c r="C25" i="27"/>
  <c r="D7" i="25"/>
  <c r="H34" i="25"/>
  <c r="I34" i="25"/>
  <c r="J34" i="25"/>
  <c r="K34" i="25"/>
  <c r="D7" i="22"/>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194" i="18"/>
  <c r="B17" i="27"/>
  <c r="I194" i="18"/>
  <c r="K194" i="18"/>
  <c r="L194" i="18"/>
  <c r="G195" i="18"/>
  <c r="H195" i="18"/>
  <c r="B16" i="27"/>
  <c r="B7" i="27"/>
  <c r="I7" i="27"/>
  <c r="J195" i="18"/>
  <c r="K195" i="18"/>
  <c r="L195" i="18"/>
  <c r="G196" i="18"/>
  <c r="I196" i="18"/>
  <c r="K196" i="18"/>
  <c r="L196" i="18"/>
  <c r="B18" i="27"/>
  <c r="H197" i="18"/>
  <c r="I197" i="18"/>
  <c r="J197" i="18"/>
  <c r="L197" i="18"/>
  <c r="G198" i="18"/>
  <c r="H198" i="18"/>
  <c r="I198" i="18"/>
  <c r="J198" i="18"/>
  <c r="K198" i="18"/>
  <c r="B19" i="27"/>
  <c r="H193" i="18"/>
  <c r="I193" i="18"/>
  <c r="J193" i="18"/>
  <c r="L193" i="18"/>
  <c r="G161" i="18"/>
  <c r="I161" i="18"/>
  <c r="J161" i="18"/>
  <c r="K161" i="18"/>
  <c r="L161" i="18"/>
  <c r="G162" i="18"/>
  <c r="H162" i="18"/>
  <c r="B18" i="26"/>
  <c r="I8" i="26"/>
  <c r="K162" i="18"/>
  <c r="L162" i="18"/>
  <c r="G163" i="18"/>
  <c r="H163" i="18"/>
  <c r="K163" i="18"/>
  <c r="L163" i="18"/>
  <c r="G164" i="18"/>
  <c r="H164" i="18"/>
  <c r="I164" i="18"/>
  <c r="J164" i="18"/>
  <c r="B19" i="26"/>
  <c r="L164" i="18"/>
  <c r="B17" i="26"/>
  <c r="G5" i="26"/>
  <c r="G160" i="18"/>
  <c r="H165" i="18"/>
  <c r="I165" i="18"/>
  <c r="J165" i="18"/>
  <c r="K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J63" i="18"/>
  <c r="K63" i="18"/>
  <c r="L63" i="18"/>
  <c r="G64" i="18"/>
  <c r="I64" i="18"/>
  <c r="K64" i="18"/>
  <c r="L64" i="18"/>
  <c r="H65" i="18"/>
  <c r="I65" i="18"/>
  <c r="J65" i="18"/>
  <c r="L65" i="18"/>
  <c r="G66" i="18"/>
  <c r="H66" i="18"/>
  <c r="I66" i="18"/>
  <c r="J66" i="18"/>
  <c r="K66" i="18"/>
  <c r="H61" i="18"/>
  <c r="I61" i="18"/>
  <c r="J61" i="18"/>
  <c r="L61" i="18"/>
  <c r="G29" i="18"/>
  <c r="I29" i="18"/>
  <c r="J29" i="18"/>
  <c r="K29" i="18"/>
  <c r="G30" i="18"/>
  <c r="H30" i="18"/>
  <c r="J30" i="18"/>
  <c r="L30" i="18"/>
  <c r="G31" i="18"/>
  <c r="H31" i="18"/>
  <c r="I31" i="18"/>
  <c r="K31" i="18"/>
  <c r="L31" i="18"/>
  <c r="H32" i="18"/>
  <c r="J32" i="18"/>
  <c r="L32" i="18"/>
  <c r="G33" i="18"/>
  <c r="I33" i="18"/>
  <c r="J33" i="18"/>
  <c r="K33" i="18"/>
  <c r="H28" i="18"/>
  <c r="I28" i="18"/>
  <c r="J28" i="18"/>
  <c r="K28" i="18"/>
  <c r="L28" i="18"/>
  <c r="B18" i="22"/>
  <c r="B21" i="22"/>
  <c r="B16" i="22"/>
  <c r="B19" i="22"/>
  <c r="B9" i="22"/>
  <c r="L10" i="22"/>
  <c r="L66" i="18"/>
  <c r="B17" i="22"/>
  <c r="J8" i="22"/>
  <c r="J64" i="18"/>
  <c r="I7" i="22"/>
  <c r="I63" i="18"/>
  <c r="H6" i="22"/>
  <c r="H62" i="18"/>
  <c r="D20" i="24"/>
  <c r="C27" i="24"/>
  <c r="B7" i="24"/>
  <c r="B14" i="24"/>
  <c r="B13" i="24"/>
  <c r="B15" i="24"/>
  <c r="B18" i="24"/>
  <c r="B9" i="24"/>
  <c r="S66" i="26"/>
  <c r="B9" i="26"/>
  <c r="K9" i="26"/>
  <c r="K164" i="18"/>
  <c r="B21" i="26"/>
  <c r="B20" i="26"/>
  <c r="H6" i="27"/>
  <c r="H194" i="18"/>
  <c r="B9" i="27"/>
  <c r="D20" i="31"/>
  <c r="C25" i="31"/>
  <c r="D20" i="30"/>
  <c r="C25" i="30"/>
  <c r="D20" i="29"/>
  <c r="C25" i="29"/>
  <c r="D20" i="26"/>
  <c r="D20" i="22"/>
  <c r="D20" i="28"/>
  <c r="D7" i="31"/>
  <c r="D6" i="31"/>
  <c r="D10" i="31"/>
  <c r="D7" i="30"/>
  <c r="D12" i="30"/>
  <c r="D13" i="30"/>
  <c r="D14" i="30"/>
  <c r="D6" i="30"/>
  <c r="D10" i="30"/>
  <c r="D7" i="29"/>
  <c r="D13" i="29"/>
  <c r="D14" i="29"/>
  <c r="D12" i="29"/>
  <c r="D6" i="29"/>
  <c r="D10" i="29"/>
  <c r="D7" i="27"/>
  <c r="D13" i="27"/>
  <c r="D14" i="27"/>
  <c r="D12" i="27"/>
  <c r="D6" i="27"/>
  <c r="D10" i="27"/>
  <c r="D7" i="26"/>
  <c r="D6" i="26"/>
  <c r="D10" i="26"/>
  <c r="D13" i="25"/>
  <c r="D14" i="25"/>
  <c r="D12" i="25"/>
  <c r="D6" i="25"/>
  <c r="D10" i="25"/>
  <c r="D7" i="24"/>
  <c r="H35" i="24"/>
  <c r="I35" i="24"/>
  <c r="J35" i="24"/>
  <c r="K35" i="24"/>
  <c r="D13" i="24"/>
  <c r="D14" i="24"/>
  <c r="D12" i="24"/>
  <c r="D6" i="24"/>
  <c r="D10" i="24"/>
  <c r="D10" i="22"/>
  <c r="D13" i="21"/>
  <c r="D14" i="21" s="1"/>
  <c r="H41" i="21" s="1"/>
  <c r="D12" i="21"/>
  <c r="H40" i="21" s="1"/>
  <c r="H35" i="21"/>
  <c r="D7" i="28"/>
  <c r="D13" i="28"/>
  <c r="H40" i="28"/>
  <c r="D14" i="28"/>
  <c r="H39" i="28"/>
  <c r="D12" i="28"/>
  <c r="H38" i="28"/>
  <c r="D6" i="28"/>
  <c r="D10" i="28"/>
  <c r="B15" i="28"/>
  <c r="B13" i="28"/>
  <c r="B18" i="28"/>
  <c r="B7" i="28"/>
  <c r="B19" i="28"/>
  <c r="B35" i="9"/>
  <c r="B36" i="9"/>
  <c r="B33" i="9"/>
  <c r="B26" i="9"/>
  <c r="D7" i="8"/>
  <c r="H315" i="18"/>
  <c r="H118" i="18"/>
  <c r="B47" i="22"/>
  <c r="F49" i="18" s="1"/>
  <c r="O50" i="18" s="1"/>
  <c r="B5" i="9"/>
  <c r="B11" i="9"/>
  <c r="H41" i="30"/>
  <c r="I41" i="30"/>
  <c r="J41" i="30"/>
  <c r="K41" i="30"/>
  <c r="H36" i="30"/>
  <c r="L45" i="30"/>
  <c r="M45" i="30"/>
  <c r="N45" i="30"/>
  <c r="O45" i="30"/>
  <c r="P45" i="30"/>
  <c r="Q45" i="30"/>
  <c r="R45" i="30"/>
  <c r="S45" i="30"/>
  <c r="B12" i="9"/>
  <c r="H40" i="30"/>
  <c r="I40" i="30"/>
  <c r="J40" i="30"/>
  <c r="K40" i="30"/>
  <c r="L44" i="30"/>
  <c r="M44" i="30"/>
  <c r="N44" i="30"/>
  <c r="O44" i="30"/>
  <c r="P44" i="30"/>
  <c r="Q44" i="30"/>
  <c r="R44" i="30"/>
  <c r="S44" i="30"/>
  <c r="B10" i="9"/>
  <c r="H39" i="30"/>
  <c r="L43" i="30"/>
  <c r="M43" i="30"/>
  <c r="N43" i="30"/>
  <c r="O43" i="30"/>
  <c r="P43" i="30"/>
  <c r="Q43" i="30"/>
  <c r="R43" i="30"/>
  <c r="S43" i="30"/>
  <c r="H41" i="29"/>
  <c r="H36" i="29"/>
  <c r="L45" i="29"/>
  <c r="M45" i="29"/>
  <c r="N45" i="29"/>
  <c r="O45" i="29"/>
  <c r="P45" i="29"/>
  <c r="Q45" i="29"/>
  <c r="R45" i="29"/>
  <c r="S45" i="29"/>
  <c r="H40" i="29"/>
  <c r="I40" i="29"/>
  <c r="J40" i="29"/>
  <c r="K40" i="29"/>
  <c r="L44" i="29"/>
  <c r="M44" i="29"/>
  <c r="N44" i="29"/>
  <c r="O44" i="29"/>
  <c r="P44" i="29"/>
  <c r="Q44" i="29"/>
  <c r="R44" i="29"/>
  <c r="S44" i="29"/>
  <c r="H39" i="29"/>
  <c r="I39" i="29"/>
  <c r="J39" i="29"/>
  <c r="K39" i="29"/>
  <c r="L43" i="29"/>
  <c r="M43" i="29"/>
  <c r="N43" i="29"/>
  <c r="O43" i="29"/>
  <c r="P43" i="29"/>
  <c r="Q43" i="29"/>
  <c r="R43" i="29"/>
  <c r="S43" i="29"/>
  <c r="I40" i="28"/>
  <c r="J40" i="28"/>
  <c r="H44" i="28"/>
  <c r="I44" i="28"/>
  <c r="J44" i="28"/>
  <c r="K44" i="28"/>
  <c r="L44" i="28"/>
  <c r="M44" i="28"/>
  <c r="N44" i="28"/>
  <c r="O44" i="28"/>
  <c r="P44" i="28"/>
  <c r="Q44" i="28"/>
  <c r="R44" i="28"/>
  <c r="S44" i="28"/>
  <c r="I39" i="28"/>
  <c r="J39" i="28"/>
  <c r="K39" i="28"/>
  <c r="H43" i="28"/>
  <c r="I43" i="28"/>
  <c r="J43" i="28"/>
  <c r="K43" i="28"/>
  <c r="L43" i="28"/>
  <c r="M43" i="28"/>
  <c r="N43" i="28"/>
  <c r="O43" i="28"/>
  <c r="P43" i="28"/>
  <c r="Q43" i="28"/>
  <c r="R43" i="28"/>
  <c r="S43" i="28"/>
  <c r="I38" i="28"/>
  <c r="J38" i="28"/>
  <c r="K38" i="28"/>
  <c r="H42" i="28"/>
  <c r="I42" i="28"/>
  <c r="J42" i="28"/>
  <c r="K42" i="28"/>
  <c r="L42" i="28"/>
  <c r="M42" i="28"/>
  <c r="N42" i="28"/>
  <c r="O42" i="28"/>
  <c r="P42" i="28"/>
  <c r="Q42" i="28"/>
  <c r="R42" i="28"/>
  <c r="S42" i="28"/>
  <c r="H41" i="27"/>
  <c r="H36" i="27"/>
  <c r="H37" i="27"/>
  <c r="H43" i="27"/>
  <c r="L45" i="27"/>
  <c r="M45" i="27"/>
  <c r="N45" i="27"/>
  <c r="O45" i="27"/>
  <c r="P45" i="27"/>
  <c r="Q45" i="27"/>
  <c r="R45" i="27"/>
  <c r="S45" i="27"/>
  <c r="H40" i="27"/>
  <c r="I40" i="27"/>
  <c r="J40" i="27"/>
  <c r="K40" i="27"/>
  <c r="L44" i="27"/>
  <c r="M44" i="27"/>
  <c r="N44" i="27"/>
  <c r="O44" i="27"/>
  <c r="P44" i="27"/>
  <c r="Q44" i="27"/>
  <c r="R44" i="27"/>
  <c r="S44" i="27"/>
  <c r="H39" i="27"/>
  <c r="I39" i="27"/>
  <c r="L43" i="27"/>
  <c r="M43" i="27"/>
  <c r="N43" i="27"/>
  <c r="O43" i="27"/>
  <c r="P43" i="27"/>
  <c r="Q43" i="27"/>
  <c r="R43" i="27"/>
  <c r="S43" i="27"/>
  <c r="H44" i="26"/>
  <c r="I44" i="26"/>
  <c r="J44" i="26"/>
  <c r="K44" i="26"/>
  <c r="L44" i="26"/>
  <c r="M44" i="26"/>
  <c r="N44" i="26"/>
  <c r="O44" i="26"/>
  <c r="P44" i="26"/>
  <c r="Q44" i="26"/>
  <c r="R44" i="26"/>
  <c r="S44" i="26"/>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H40" i="25"/>
  <c r="I40" i="25"/>
  <c r="J40" i="25"/>
  <c r="K40" i="25"/>
  <c r="H44" i="25"/>
  <c r="I35" i="25"/>
  <c r="I44" i="25"/>
  <c r="J35" i="25"/>
  <c r="J44" i="25"/>
  <c r="L44" i="25"/>
  <c r="M44" i="25"/>
  <c r="N44" i="25"/>
  <c r="O44" i="25"/>
  <c r="P44" i="25"/>
  <c r="Q44" i="25"/>
  <c r="R44" i="25"/>
  <c r="S44" i="25"/>
  <c r="H39" i="25"/>
  <c r="I39" i="25"/>
  <c r="J39" i="25"/>
  <c r="K39" i="25"/>
  <c r="L43" i="25"/>
  <c r="M43" i="25"/>
  <c r="N43" i="25"/>
  <c r="O43" i="25"/>
  <c r="P43" i="25"/>
  <c r="Q43" i="25"/>
  <c r="R43" i="25"/>
  <c r="S43" i="25"/>
  <c r="H38" i="25"/>
  <c r="I38" i="25"/>
  <c r="J38" i="25"/>
  <c r="K38" i="25"/>
  <c r="L42" i="25"/>
  <c r="M42" i="25"/>
  <c r="N42" i="25"/>
  <c r="O42" i="25"/>
  <c r="P42" i="25"/>
  <c r="Q42" i="25"/>
  <c r="R42" i="25"/>
  <c r="S42" i="25"/>
  <c r="H41" i="24"/>
  <c r="I41" i="24"/>
  <c r="J41" i="24"/>
  <c r="K41" i="24"/>
  <c r="H36" i="24"/>
  <c r="H45" i="24"/>
  <c r="I36" i="24"/>
  <c r="I45" i="24"/>
  <c r="J36" i="24"/>
  <c r="L45" i="24"/>
  <c r="M45" i="24"/>
  <c r="N45" i="24"/>
  <c r="O45" i="24"/>
  <c r="P45" i="24"/>
  <c r="Q45" i="24"/>
  <c r="R45" i="24"/>
  <c r="S45" i="24"/>
  <c r="H40" i="24"/>
  <c r="I40" i="24"/>
  <c r="J40" i="24"/>
  <c r="K40" i="24"/>
  <c r="H44" i="24"/>
  <c r="I44" i="24"/>
  <c r="J44" i="24"/>
  <c r="K44" i="24"/>
  <c r="L44" i="24"/>
  <c r="M44" i="24"/>
  <c r="N44" i="24"/>
  <c r="O44" i="24"/>
  <c r="P44" i="24"/>
  <c r="Q44" i="24"/>
  <c r="R44" i="24"/>
  <c r="S44" i="24"/>
  <c r="H39" i="24"/>
  <c r="I39" i="24"/>
  <c r="J39" i="24"/>
  <c r="K39" i="24"/>
  <c r="H43" i="24"/>
  <c r="J43" i="24"/>
  <c r="L43" i="24"/>
  <c r="M43" i="24"/>
  <c r="N43" i="24"/>
  <c r="O43" i="24"/>
  <c r="P43" i="24"/>
  <c r="Q43" i="24"/>
  <c r="R43" i="24"/>
  <c r="S43" i="24"/>
  <c r="H41" i="22"/>
  <c r="I41" i="22"/>
  <c r="J41" i="22"/>
  <c r="K41" i="22"/>
  <c r="L45" i="22"/>
  <c r="M45" i="22"/>
  <c r="N45" i="22"/>
  <c r="O45" i="22"/>
  <c r="P45" i="22"/>
  <c r="Q45" i="22"/>
  <c r="R45" i="22"/>
  <c r="S45" i="22"/>
  <c r="H40" i="22"/>
  <c r="I40" i="22"/>
  <c r="J40" i="22"/>
  <c r="K40" i="22"/>
  <c r="L44" i="22"/>
  <c r="M44" i="22"/>
  <c r="N44" i="22"/>
  <c r="O44" i="22"/>
  <c r="P44" i="22"/>
  <c r="Q44" i="22"/>
  <c r="R44" i="22"/>
  <c r="S44" i="22"/>
  <c r="H39" i="22"/>
  <c r="I39" i="22"/>
  <c r="J39" i="22"/>
  <c r="K39" i="22"/>
  <c r="L43" i="22"/>
  <c r="M43" i="22"/>
  <c r="N43" i="22"/>
  <c r="O43" i="22"/>
  <c r="P43" i="22"/>
  <c r="Q43" i="22"/>
  <c r="R43" i="22"/>
  <c r="S43" i="22"/>
  <c r="H41" i="31"/>
  <c r="I41" i="31"/>
  <c r="J41" i="31"/>
  <c r="K41" i="31"/>
  <c r="H36" i="31"/>
  <c r="H37" i="31"/>
  <c r="H44" i="31"/>
  <c r="H45" i="31"/>
  <c r="I36" i="31"/>
  <c r="J36" i="31"/>
  <c r="L45" i="31"/>
  <c r="M45" i="31"/>
  <c r="N45" i="31"/>
  <c r="O45" i="31"/>
  <c r="P45" i="31"/>
  <c r="Q45" i="31"/>
  <c r="R45" i="31"/>
  <c r="S45" i="31"/>
  <c r="H40" i="31"/>
  <c r="L44" i="31"/>
  <c r="M44" i="31"/>
  <c r="N44" i="31"/>
  <c r="O44" i="31"/>
  <c r="P44" i="31"/>
  <c r="Q44" i="31"/>
  <c r="R44" i="31"/>
  <c r="S44" i="31"/>
  <c r="H39" i="31"/>
  <c r="I39" i="31"/>
  <c r="J39" i="31"/>
  <c r="K39" i="31"/>
  <c r="L43" i="31"/>
  <c r="M43" i="31"/>
  <c r="N43" i="31"/>
  <c r="O43" i="31"/>
  <c r="P43" i="31"/>
  <c r="Q43" i="31"/>
  <c r="R43" i="31"/>
  <c r="S43" i="31"/>
  <c r="B27" i="28"/>
  <c r="H221" i="18"/>
  <c r="B26" i="28"/>
  <c r="H220" i="18"/>
  <c r="B27" i="26"/>
  <c r="H155" i="18"/>
  <c r="B26" i="26"/>
  <c r="H154" i="18"/>
  <c r="B27" i="24"/>
  <c r="H89" i="18"/>
  <c r="B18" i="9"/>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L44" i="21"/>
  <c r="M44" i="21"/>
  <c r="N44" i="21"/>
  <c r="O44" i="21"/>
  <c r="P44" i="21"/>
  <c r="Q44" i="21"/>
  <c r="R44" i="21"/>
  <c r="S44" i="21"/>
  <c r="L43" i="21"/>
  <c r="M43" i="21"/>
  <c r="N43" i="21"/>
  <c r="O43" i="21"/>
  <c r="P43" i="21"/>
  <c r="Q43" i="21"/>
  <c r="R43" i="21"/>
  <c r="S43" i="21"/>
  <c r="B46" i="22"/>
  <c r="F48" i="18" s="1"/>
  <c r="O49" i="18" s="1"/>
  <c r="B45" i="24"/>
  <c r="F80" i="18" s="1"/>
  <c r="O81" i="18" s="1"/>
  <c r="B47" i="24"/>
  <c r="F82" i="18" s="1"/>
  <c r="O83" i="18" s="1"/>
  <c r="B45" i="25"/>
  <c r="F113" i="18" s="1"/>
  <c r="O114" i="18" s="1"/>
  <c r="B46" i="25"/>
  <c r="F114" i="18" s="1"/>
  <c r="O115" i="18" s="1"/>
  <c r="B47" i="25"/>
  <c r="F115" i="18" s="1"/>
  <c r="O116" i="18" s="1"/>
  <c r="B45" i="26"/>
  <c r="F146" i="18" s="1"/>
  <c r="O147" i="18" s="1"/>
  <c r="B46" i="26"/>
  <c r="F147" i="18" s="1"/>
  <c r="O148" i="18" s="1"/>
  <c r="B47" i="26"/>
  <c r="F148" i="18" s="1"/>
  <c r="O149" i="18" s="1"/>
  <c r="B45" i="27"/>
  <c r="F179" i="18" s="1"/>
  <c r="O180" i="18" s="1"/>
  <c r="B46" i="27"/>
  <c r="F180" i="18" s="1"/>
  <c r="O181" i="18" s="1"/>
  <c r="B47" i="27"/>
  <c r="F181" i="18" s="1"/>
  <c r="O182" i="18" s="1"/>
  <c r="B45" i="28"/>
  <c r="F212" i="18" s="1"/>
  <c r="O213" i="18" s="1"/>
  <c r="B46" i="28"/>
  <c r="F213" i="18" s="1"/>
  <c r="O214" i="18" s="1"/>
  <c r="B47" i="28"/>
  <c r="F214" i="18" s="1"/>
  <c r="O215" i="18" s="1"/>
  <c r="B45" i="29"/>
  <c r="F245" i="18" s="1"/>
  <c r="O246" i="18" s="1"/>
  <c r="B46" i="29"/>
  <c r="F246" i="18" s="1"/>
  <c r="O247" i="18" s="1"/>
  <c r="B47" i="29"/>
  <c r="F247" i="18" s="1"/>
  <c r="O248" i="18" s="1"/>
  <c r="B45" i="30"/>
  <c r="F278" i="18" s="1"/>
  <c r="O279" i="18" s="1"/>
  <c r="B46" i="30"/>
  <c r="F279" i="18" s="1"/>
  <c r="O280" i="18" s="1"/>
  <c r="B47" i="30"/>
  <c r="F280" i="18" s="1"/>
  <c r="O281" i="18" s="1"/>
  <c r="B45" i="31"/>
  <c r="F311" i="18" s="1"/>
  <c r="O312" i="18" s="1"/>
  <c r="B46" i="31"/>
  <c r="F312" i="18" s="1"/>
  <c r="O313" i="18" s="1"/>
  <c r="B47" i="31"/>
  <c r="F313" i="18" s="1"/>
  <c r="O314" i="18" s="1"/>
  <c r="B45" i="21"/>
  <c r="F14" i="18" s="1"/>
  <c r="O15" i="18" s="1"/>
  <c r="B46" i="21"/>
  <c r="F15" i="18" s="1"/>
  <c r="O16" i="18" s="1"/>
  <c r="B47" i="21"/>
  <c r="F16" i="18" s="1"/>
  <c r="O17" i="18" s="1"/>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I30" i="22"/>
  <c r="J30" i="22"/>
  <c r="K30" i="22"/>
  <c r="L30" i="22"/>
  <c r="M30" i="22"/>
  <c r="N30" i="22"/>
  <c r="O30" i="22"/>
  <c r="P30" i="22"/>
  <c r="Q30" i="22"/>
  <c r="R30" i="22"/>
  <c r="S30" i="22"/>
  <c r="B8" i="34"/>
  <c r="B11" i="34" s="1"/>
  <c r="B15" i="34" s="1"/>
  <c r="B6" i="34"/>
  <c r="B7" i="34"/>
  <c r="D18" i="8"/>
  <c r="D17" i="8"/>
  <c r="B23" i="8"/>
  <c r="D6" i="8"/>
  <c r="D12" i="8"/>
  <c r="B20" i="8"/>
  <c r="D8" i="8"/>
  <c r="B22" i="8"/>
  <c r="B54" i="31"/>
  <c r="B53" i="31"/>
  <c r="B52" i="31"/>
  <c r="H311" i="18"/>
  <c r="O319" i="18"/>
  <c r="H283" i="18"/>
  <c r="B54" i="30"/>
  <c r="B53" i="30"/>
  <c r="H279" i="18"/>
  <c r="O287" i="18"/>
  <c r="B52" i="30"/>
  <c r="H249" i="18"/>
  <c r="H248" i="18"/>
  <c r="B54" i="29"/>
  <c r="B53" i="29"/>
  <c r="B52" i="29"/>
  <c r="H217" i="18"/>
  <c r="B54" i="28"/>
  <c r="B53" i="28"/>
  <c r="H213" i="18"/>
  <c r="O221" i="18"/>
  <c r="B52" i="28"/>
  <c r="B54" i="27"/>
  <c r="H181" i="18"/>
  <c r="O189" i="18"/>
  <c r="B53" i="27"/>
  <c r="B52" i="27"/>
  <c r="B54" i="26"/>
  <c r="B53" i="26"/>
  <c r="B52" i="26"/>
  <c r="B54" i="25"/>
  <c r="H115" i="18"/>
  <c r="O123" i="18"/>
  <c r="B53" i="25"/>
  <c r="B52" i="25"/>
  <c r="B54" i="24"/>
  <c r="B53" i="24"/>
  <c r="H81" i="18"/>
  <c r="O89" i="18"/>
  <c r="B52" i="24"/>
  <c r="H80" i="18"/>
  <c r="O88" i="18"/>
  <c r="B54" i="22"/>
  <c r="H49" i="18"/>
  <c r="O57" i="18"/>
  <c r="B53" i="22"/>
  <c r="B52" i="22"/>
  <c r="B53" i="21"/>
  <c r="B54" i="21"/>
  <c r="H16" i="18"/>
  <c r="O24" i="18"/>
  <c r="B52" i="21"/>
  <c r="H14" i="18"/>
  <c r="O22" i="18"/>
  <c r="H316" i="18"/>
  <c r="H314" i="18"/>
  <c r="H282" i="18"/>
  <c r="H281" i="18"/>
  <c r="H250" i="18"/>
  <c r="H216" i="18"/>
  <c r="H215" i="18"/>
  <c r="H183" i="18"/>
  <c r="H182" i="18"/>
  <c r="AJ330" i="18"/>
  <c r="AL332" i="18"/>
  <c r="AJ332" i="18"/>
  <c r="AF331" i="18"/>
  <c r="AG332" i="18"/>
  <c r="AF332" i="18"/>
  <c r="AL330" i="18"/>
  <c r="AG331" i="18"/>
  <c r="AO330" i="18"/>
  <c r="AP330" i="18"/>
  <c r="AO331" i="18"/>
  <c r="AP331" i="18"/>
  <c r="O330" i="18" a="1"/>
  <c r="R332" i="18"/>
  <c r="AJ297" i="18"/>
  <c r="AL299" i="18"/>
  <c r="AL297" i="18"/>
  <c r="AJ299" i="18"/>
  <c r="AF298" i="18"/>
  <c r="AG298" i="18"/>
  <c r="AO297" i="18"/>
  <c r="AP297" i="18"/>
  <c r="AO298" i="18"/>
  <c r="AP298" i="18"/>
  <c r="AF299" i="18"/>
  <c r="AG299" i="18"/>
  <c r="O297" i="18" a="1"/>
  <c r="Q299" i="18"/>
  <c r="AJ264" i="18"/>
  <c r="AL266" i="18"/>
  <c r="AL264" i="18"/>
  <c r="AJ266" i="18"/>
  <c r="AF265" i="18"/>
  <c r="AG265" i="18"/>
  <c r="AO264" i="18"/>
  <c r="AP264" i="18"/>
  <c r="AO265" i="18"/>
  <c r="AP265" i="18"/>
  <c r="AF266" i="18"/>
  <c r="AG266" i="18"/>
  <c r="O264" i="18" a="1"/>
  <c r="P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L165" i="18"/>
  <c r="AP165" i="18"/>
  <c r="O165" i="18" a="1"/>
  <c r="Q166"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L99" i="18"/>
  <c r="AP99" i="18"/>
  <c r="O99" i="18" a="1"/>
  <c r="R100" i="18"/>
  <c r="AJ66" i="18"/>
  <c r="AL68" i="18"/>
  <c r="AJ68" i="18"/>
  <c r="AF67" i="18"/>
  <c r="AG68" i="18"/>
  <c r="AF68" i="18"/>
  <c r="AO66" i="18"/>
  <c r="AP67" i="18"/>
  <c r="AO67" i="18"/>
  <c r="AG67" i="18"/>
  <c r="AP66" i="18"/>
  <c r="AL66" i="18"/>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H15" i="18"/>
  <c r="O23" i="18"/>
  <c r="H47" i="18"/>
  <c r="O55" i="18"/>
  <c r="H48" i="18"/>
  <c r="O56" i="18"/>
  <c r="H82" i="18"/>
  <c r="O90" i="18"/>
  <c r="H113" i="18"/>
  <c r="O121" i="18"/>
  <c r="H114" i="18"/>
  <c r="O122" i="18"/>
  <c r="H146" i="18"/>
  <c r="O154" i="18"/>
  <c r="H147" i="18"/>
  <c r="O155" i="18"/>
  <c r="H148" i="18"/>
  <c r="O156" i="18"/>
  <c r="H179" i="18"/>
  <c r="O187" i="18"/>
  <c r="H180" i="18"/>
  <c r="O188" i="18"/>
  <c r="H212" i="18"/>
  <c r="O220" i="18"/>
  <c r="H214" i="18"/>
  <c r="O222" i="18"/>
  <c r="H245" i="18"/>
  <c r="O253" i="18"/>
  <c r="H246" i="18"/>
  <c r="O254" i="18"/>
  <c r="H247" i="18"/>
  <c r="O255" i="18"/>
  <c r="H278" i="18"/>
  <c r="O286" i="18"/>
  <c r="H280" i="18"/>
  <c r="O288" i="18"/>
  <c r="H312" i="18"/>
  <c r="O320" i="18"/>
  <c r="H313" i="18"/>
  <c r="O321" i="18"/>
  <c r="H87" i="18"/>
  <c r="H120" i="18"/>
  <c r="H153" i="18"/>
  <c r="H186" i="18"/>
  <c r="H219" i="18"/>
  <c r="H252" i="18"/>
  <c r="H285" i="18"/>
  <c r="H318" i="18"/>
  <c r="A31" i="7"/>
  <c r="A38" i="7" s="1"/>
  <c r="A45" i="7" s="1"/>
  <c r="A52" i="7" s="1"/>
  <c r="A59" i="7" s="1"/>
  <c r="A66" i="7" s="1"/>
  <c r="A73" i="7" s="1"/>
  <c r="A80" i="7" s="1"/>
  <c r="A87" i="7" s="1"/>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W331" i="18"/>
  <c r="T332" i="18"/>
  <c r="T297" i="18" a="1"/>
  <c r="V300" i="18"/>
  <c r="V298" i="18"/>
  <c r="W298" i="18"/>
  <c r="W300" i="18"/>
  <c r="T264" i="18" a="1"/>
  <c r="T264" i="18"/>
  <c r="V264" i="18"/>
  <c r="U265" i="18"/>
  <c r="V265" i="18"/>
  <c r="W265" i="18"/>
  <c r="V266" i="18"/>
  <c r="U267" i="18"/>
  <c r="V267" i="18"/>
  <c r="W267" i="18"/>
  <c r="T231" i="18" a="1"/>
  <c r="T231" i="18"/>
  <c r="U231" i="18"/>
  <c r="T232" i="18"/>
  <c r="U232" i="18"/>
  <c r="W232" i="18"/>
  <c r="U233" i="18"/>
  <c r="T234" i="18"/>
  <c r="U234" i="18"/>
  <c r="W234" i="18"/>
  <c r="T198" i="18" a="1"/>
  <c r="V199" i="18"/>
  <c r="W198" i="18"/>
  <c r="T199" i="18"/>
  <c r="W199" i="18"/>
  <c r="W200" i="18"/>
  <c r="T201" i="18"/>
  <c r="W201" i="18"/>
  <c r="T165" i="18" a="1"/>
  <c r="U166" i="18"/>
  <c r="V165" i="18"/>
  <c r="W165" i="18"/>
  <c r="V166" i="18"/>
  <c r="W166" i="18"/>
  <c r="V167" i="18"/>
  <c r="W167" i="18"/>
  <c r="V168" i="18"/>
  <c r="W168" i="18"/>
  <c r="T132" i="18" a="1"/>
  <c r="T132" i="18"/>
  <c r="U132" i="18"/>
  <c r="V132" i="18"/>
  <c r="W132" i="18"/>
  <c r="T133" i="18"/>
  <c r="U133" i="18"/>
  <c r="V133" i="18"/>
  <c r="W133" i="18"/>
  <c r="U134" i="18"/>
  <c r="V134" i="18"/>
  <c r="W134" i="18"/>
  <c r="T135" i="18"/>
  <c r="U135" i="18"/>
  <c r="V135" i="18"/>
  <c r="W135" i="18"/>
  <c r="T99" i="18" a="1"/>
  <c r="T99" i="18"/>
  <c r="A1" i="31"/>
  <c r="A1" i="30"/>
  <c r="A1" i="29"/>
  <c r="A1" i="28"/>
  <c r="A1" i="27"/>
  <c r="A1" i="26"/>
  <c r="A1" i="25"/>
  <c r="A1" i="24"/>
  <c r="A1" i="22"/>
  <c r="A1" i="21"/>
  <c r="B1" i="21"/>
  <c r="O333" i="18"/>
  <c r="R299" i="18"/>
  <c r="Q265" i="18"/>
  <c r="P266" i="18"/>
  <c r="Q266" i="18"/>
  <c r="Q267" i="18"/>
  <c r="O198" i="18" a="1"/>
  <c r="O198" i="18"/>
  <c r="O199" i="18"/>
  <c r="R199" i="18"/>
  <c r="O200" i="18"/>
  <c r="O201" i="18"/>
  <c r="R201" i="18"/>
  <c r="R166" i="18"/>
  <c r="I30" i="21"/>
  <c r="J30" i="21"/>
  <c r="K30" i="21"/>
  <c r="L30" i="21"/>
  <c r="M30" i="21"/>
  <c r="N30" i="21"/>
  <c r="O30" i="21"/>
  <c r="P30" i="21"/>
  <c r="Q30" i="21"/>
  <c r="R30" i="21"/>
  <c r="S30" i="21"/>
  <c r="AG34" i="18"/>
  <c r="AF35" i="18"/>
  <c r="AJ33" i="18"/>
  <c r="AL35" i="18"/>
  <c r="AL33" i="18"/>
  <c r="AJ35" i="18"/>
  <c r="AO33" i="18"/>
  <c r="AP34" i="18"/>
  <c r="AP33" i="18"/>
  <c r="AO34" i="18"/>
  <c r="AF34" i="18"/>
  <c r="AG35" i="18"/>
  <c r="C41" i="8"/>
  <c r="C32" i="8"/>
  <c r="C36" i="8"/>
  <c r="C44" i="8"/>
  <c r="C45" i="8"/>
  <c r="C46" i="8"/>
  <c r="C37" i="8"/>
  <c r="C42" i="8"/>
  <c r="C35" i="8"/>
  <c r="C43" i="8"/>
  <c r="D13" i="8"/>
  <c r="B21" i="8"/>
  <c r="B21" i="11"/>
  <c r="B14" i="11"/>
  <c r="B7" i="11"/>
  <c r="B4" i="9"/>
  <c r="T66" i="18" a="1"/>
  <c r="V66" i="18"/>
  <c r="U66"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P102" i="18"/>
  <c r="P165" i="18"/>
  <c r="P167" i="18"/>
  <c r="O166" i="18"/>
  <c r="O168" i="18"/>
  <c r="P166" i="18"/>
  <c r="P168" i="18"/>
  <c r="O165" i="18"/>
  <c r="O167" i="18"/>
  <c r="R167" i="18"/>
  <c r="Q168" i="18"/>
  <c r="R168" i="18"/>
  <c r="Q165" i="18"/>
  <c r="R165" i="18"/>
  <c r="Q167" i="18"/>
  <c r="T88" i="18" a="1"/>
  <c r="O33" i="18" a="1"/>
  <c r="O100" i="18"/>
  <c r="P99" i="18"/>
  <c r="O102" i="18"/>
  <c r="R101" i="18"/>
  <c r="R102" i="18"/>
  <c r="P101" i="18"/>
  <c r="O99" i="18"/>
  <c r="P100" i="18"/>
  <c r="Q99" i="18"/>
  <c r="R99" i="18"/>
  <c r="Q102" i="18"/>
  <c r="Q101" i="18"/>
  <c r="Q100" i="18"/>
  <c r="O101" i="18"/>
  <c r="P298" i="18"/>
  <c r="P300" i="18"/>
  <c r="O297" i="18"/>
  <c r="O299" i="18"/>
  <c r="P297" i="18"/>
  <c r="P299" i="18"/>
  <c r="O298" i="18"/>
  <c r="O300" i="18"/>
  <c r="R300" i="18"/>
  <c r="Q297" i="18"/>
  <c r="R297" i="18"/>
  <c r="Q298" i="18"/>
  <c r="R298" i="18"/>
  <c r="Q300" i="18"/>
  <c r="Q331" i="18"/>
  <c r="Q333" i="18"/>
  <c r="P330" i="18"/>
  <c r="P332" i="18"/>
  <c r="Q330" i="18"/>
  <c r="Q332" i="18"/>
  <c r="P331" i="18"/>
  <c r="P333" i="18"/>
  <c r="O330" i="18"/>
  <c r="R330" i="18"/>
  <c r="O331" i="18"/>
  <c r="R331" i="18"/>
  <c r="O332" i="18"/>
  <c r="R333" i="18"/>
  <c r="R200" i="18"/>
  <c r="P267" i="18"/>
  <c r="V330" i="18"/>
  <c r="V332" i="18"/>
  <c r="W330" i="18"/>
  <c r="W332" i="18"/>
  <c r="T331" i="18"/>
  <c r="T333" i="18"/>
  <c r="U331" i="18"/>
  <c r="U330" i="18"/>
  <c r="V331" i="18"/>
  <c r="U332" i="18"/>
  <c r="U333" i="18"/>
  <c r="V333" i="18"/>
  <c r="W333" i="18"/>
  <c r="T319" i="18" a="1"/>
  <c r="U297" i="18"/>
  <c r="U299" i="18"/>
  <c r="V297" i="18"/>
  <c r="V299" i="18"/>
  <c r="W297" i="18"/>
  <c r="W299" i="18"/>
  <c r="T298" i="18"/>
  <c r="T300" i="18"/>
  <c r="U298" i="18"/>
  <c r="U300" i="18"/>
  <c r="T297" i="18"/>
  <c r="T299" i="18"/>
  <c r="O132" i="18" a="1"/>
  <c r="R198" i="18"/>
  <c r="P265" i="18"/>
  <c r="O231" i="18" a="1"/>
  <c r="Q264" i="18"/>
  <c r="O66" i="18" a="1"/>
  <c r="T55" i="18" a="1"/>
  <c r="Q198" i="18"/>
  <c r="Q200" i="18"/>
  <c r="P199" i="18"/>
  <c r="P201" i="18"/>
  <c r="Q199" i="18"/>
  <c r="Q201" i="18"/>
  <c r="P198" i="18"/>
  <c r="P200" i="18"/>
  <c r="O265" i="18"/>
  <c r="O267" i="18"/>
  <c r="R265" i="18"/>
  <c r="R267" i="18"/>
  <c r="O264" i="18"/>
  <c r="O266" i="18"/>
  <c r="R264" i="18"/>
  <c r="R266" i="18"/>
  <c r="T168" i="18"/>
  <c r="T166" i="18"/>
  <c r="U201" i="18"/>
  <c r="U199" i="18"/>
  <c r="V234" i="18"/>
  <c r="V232" i="18"/>
  <c r="B12" i="34"/>
  <c r="B16" i="34" s="1"/>
  <c r="B13" i="34" s="1"/>
  <c r="B17" i="34" s="1"/>
  <c r="I43" i="24"/>
  <c r="J45" i="31"/>
  <c r="K36" i="31"/>
  <c r="B30" i="28"/>
  <c r="H223" i="18"/>
  <c r="J37" i="31"/>
  <c r="J44" i="31"/>
  <c r="I45" i="31"/>
  <c r="B29" i="26"/>
  <c r="H156" i="18"/>
  <c r="T134" i="18"/>
  <c r="T121" i="18" a="1"/>
  <c r="U167" i="18"/>
  <c r="U165" i="18"/>
  <c r="V200" i="18"/>
  <c r="V198" i="18"/>
  <c r="W233" i="18"/>
  <c r="W231" i="18"/>
  <c r="T267" i="18"/>
  <c r="T265" i="18"/>
  <c r="B31" i="26"/>
  <c r="H158" i="18"/>
  <c r="B46" i="24"/>
  <c r="F81" i="18" s="1"/>
  <c r="O82" i="18" s="1"/>
  <c r="T167" i="18"/>
  <c r="T165" i="18"/>
  <c r="U200" i="18"/>
  <c r="U198" i="18"/>
  <c r="V233" i="18"/>
  <c r="V231" i="18"/>
  <c r="W266" i="18"/>
  <c r="W264" i="18"/>
  <c r="I37" i="31"/>
  <c r="J45" i="24"/>
  <c r="K36" i="24"/>
  <c r="T200" i="18"/>
  <c r="T198" i="18"/>
  <c r="H43" i="31"/>
  <c r="H37" i="29"/>
  <c r="H43" i="29"/>
  <c r="T233" i="18"/>
  <c r="U266" i="18"/>
  <c r="U264" i="18"/>
  <c r="I40" i="31"/>
  <c r="J40" i="31"/>
  <c r="K40" i="31"/>
  <c r="I41" i="29"/>
  <c r="J41" i="29"/>
  <c r="K41" i="29"/>
  <c r="H37" i="30"/>
  <c r="H43" i="30"/>
  <c r="H45" i="30"/>
  <c r="I36" i="30"/>
  <c r="B45" i="22"/>
  <c r="F47" i="18" s="1"/>
  <c r="O48" i="18" s="1"/>
  <c r="U168" i="18"/>
  <c r="V201" i="18"/>
  <c r="T266" i="18"/>
  <c r="K40" i="28"/>
  <c r="B31" i="28"/>
  <c r="H224" i="18"/>
  <c r="K35" i="25"/>
  <c r="J39" i="27"/>
  <c r="K39" i="27"/>
  <c r="H44" i="27"/>
  <c r="B29" i="28"/>
  <c r="H222" i="18"/>
  <c r="I41" i="27"/>
  <c r="J41" i="27"/>
  <c r="K41" i="27"/>
  <c r="I39" i="30"/>
  <c r="J39" i="30"/>
  <c r="K39" i="30"/>
  <c r="H45" i="29"/>
  <c r="I36" i="29"/>
  <c r="I36" i="27"/>
  <c r="H45" i="27"/>
  <c r="H150" i="18"/>
  <c r="H116" i="18"/>
  <c r="H117" i="18"/>
  <c r="H151" i="18"/>
  <c r="H184" i="18"/>
  <c r="B21" i="24"/>
  <c r="B17" i="24"/>
  <c r="H37" i="21"/>
  <c r="I35" i="21"/>
  <c r="D13" i="31"/>
  <c r="D14" i="31"/>
  <c r="D12" i="31"/>
  <c r="B16" i="24"/>
  <c r="I7" i="24"/>
  <c r="I96" i="18"/>
  <c r="B19" i="24"/>
  <c r="I163" i="18"/>
  <c r="J7" i="26"/>
  <c r="J162" i="18"/>
  <c r="D13" i="22"/>
  <c r="D14" i="22"/>
  <c r="D12" i="22"/>
  <c r="H35" i="22"/>
  <c r="D13" i="26"/>
  <c r="D14" i="26"/>
  <c r="D12" i="26"/>
  <c r="K9" i="22"/>
  <c r="K65" i="18"/>
  <c r="G5" i="22"/>
  <c r="G61" i="18"/>
  <c r="K5" i="22"/>
  <c r="J6" i="22"/>
  <c r="B21" i="27"/>
  <c r="B20" i="27"/>
  <c r="I195" i="18"/>
  <c r="J8" i="27"/>
  <c r="J196" i="18"/>
  <c r="L5" i="28"/>
  <c r="H36" i="25"/>
  <c r="B17" i="28"/>
  <c r="I8" i="28"/>
  <c r="B9" i="28"/>
  <c r="B16" i="28"/>
  <c r="B20" i="22"/>
  <c r="G5" i="27"/>
  <c r="K9" i="27"/>
  <c r="K197" i="18"/>
  <c r="B37" i="9"/>
  <c r="L10" i="26"/>
  <c r="L165" i="18"/>
  <c r="L5" i="26"/>
  <c r="I7" i="28"/>
  <c r="I228" i="18"/>
  <c r="J6" i="27"/>
  <c r="K9" i="28"/>
  <c r="K230" i="18"/>
  <c r="B21" i="28"/>
  <c r="J8" i="26"/>
  <c r="J163" i="18"/>
  <c r="I7" i="26"/>
  <c r="I162" i="18"/>
  <c r="G9" i="27"/>
  <c r="T122" i="18"/>
  <c r="M48" i="7"/>
  <c r="T121" i="18"/>
  <c r="M47" i="7"/>
  <c r="T123" i="18"/>
  <c r="M49" i="7"/>
  <c r="T124" i="18"/>
  <c r="T320" i="18"/>
  <c r="M90" i="7"/>
  <c r="T322" i="18"/>
  <c r="T319" i="18"/>
  <c r="M89" i="7"/>
  <c r="T321" i="18"/>
  <c r="M91" i="7"/>
  <c r="I229" i="18"/>
  <c r="J7" i="28"/>
  <c r="J228" i="18"/>
  <c r="J62" i="18"/>
  <c r="H8" i="22"/>
  <c r="H64" i="18"/>
  <c r="I44" i="31"/>
  <c r="K37" i="31"/>
  <c r="B27" i="31"/>
  <c r="H320" i="18"/>
  <c r="T154" i="18" a="1"/>
  <c r="J43" i="31"/>
  <c r="I36" i="25"/>
  <c r="H43" i="25"/>
  <c r="H42" i="25"/>
  <c r="G5" i="28"/>
  <c r="G226" i="18"/>
  <c r="H6" i="28"/>
  <c r="H227" i="18"/>
  <c r="H44" i="29"/>
  <c r="K45" i="31"/>
  <c r="B31" i="31"/>
  <c r="H323" i="18"/>
  <c r="K43" i="31"/>
  <c r="K44" i="31"/>
  <c r="B26" i="31"/>
  <c r="H319" i="18"/>
  <c r="R231" i="18"/>
  <c r="R233" i="18"/>
  <c r="Q232" i="18"/>
  <c r="Q234" i="18"/>
  <c r="R232" i="18"/>
  <c r="R234" i="18"/>
  <c r="Q231" i="18"/>
  <c r="Q233" i="18"/>
  <c r="P234" i="18"/>
  <c r="O231" i="18"/>
  <c r="P231" i="18"/>
  <c r="O232" i="18"/>
  <c r="P232" i="18"/>
  <c r="O234" i="18"/>
  <c r="O233" i="18"/>
  <c r="P233" i="18"/>
  <c r="G10" i="26"/>
  <c r="G165" i="18"/>
  <c r="L160" i="18"/>
  <c r="K61" i="18"/>
  <c r="G9" i="22"/>
  <c r="G65" i="18"/>
  <c r="J8" i="28"/>
  <c r="J229" i="18"/>
  <c r="L226" i="18"/>
  <c r="G10" i="28"/>
  <c r="G231" i="18"/>
  <c r="H8" i="27"/>
  <c r="H196" i="18"/>
  <c r="J194" i="18"/>
  <c r="B20" i="28"/>
  <c r="I45" i="29"/>
  <c r="J36" i="29"/>
  <c r="I37" i="29"/>
  <c r="I44" i="29"/>
  <c r="K44" i="25"/>
  <c r="B31" i="25"/>
  <c r="H125" i="18"/>
  <c r="B26" i="25"/>
  <c r="H121" i="18"/>
  <c r="I37" i="30"/>
  <c r="I43" i="30"/>
  <c r="I44" i="30"/>
  <c r="I45" i="30"/>
  <c r="J36" i="30"/>
  <c r="B30" i="31"/>
  <c r="H322" i="18"/>
  <c r="O132" i="18"/>
  <c r="O134" i="18"/>
  <c r="R132" i="18"/>
  <c r="R134" i="18"/>
  <c r="O133" i="18"/>
  <c r="O135" i="18"/>
  <c r="R133" i="18"/>
  <c r="R135" i="18"/>
  <c r="Q134" i="18"/>
  <c r="P135" i="18"/>
  <c r="Q135" i="18"/>
  <c r="P132" i="18"/>
  <c r="Q132" i="18"/>
  <c r="P134" i="18"/>
  <c r="Q133" i="18"/>
  <c r="P133" i="18"/>
  <c r="T187" i="18" a="1"/>
  <c r="I43" i="31"/>
  <c r="B29" i="31"/>
  <c r="H321" i="18"/>
  <c r="T55" i="18"/>
  <c r="M33" i="7"/>
  <c r="T56" i="18"/>
  <c r="M34" i="7"/>
  <c r="T58" i="18"/>
  <c r="T57" i="18"/>
  <c r="M35" i="7"/>
  <c r="G197" i="18"/>
  <c r="K5" i="27"/>
  <c r="K193" i="18"/>
  <c r="B20" i="24"/>
  <c r="H36" i="22"/>
  <c r="I35" i="22"/>
  <c r="H45" i="22"/>
  <c r="H149" i="18"/>
  <c r="I37" i="27"/>
  <c r="I43" i="27"/>
  <c r="I45" i="27"/>
  <c r="J36" i="27"/>
  <c r="H44" i="30"/>
  <c r="T253" i="18" a="1"/>
  <c r="T286" i="18" a="1"/>
  <c r="P34" i="18"/>
  <c r="P36" i="18"/>
  <c r="O33" i="18"/>
  <c r="O35" i="18"/>
  <c r="P33" i="18"/>
  <c r="P35" i="18"/>
  <c r="O34" i="18"/>
  <c r="O36" i="18"/>
  <c r="R34" i="18"/>
  <c r="Q35" i="18"/>
  <c r="R35" i="18"/>
  <c r="Q36" i="18"/>
  <c r="R36" i="18"/>
  <c r="Q34" i="18"/>
  <c r="Q33" i="18"/>
  <c r="R33" i="18"/>
  <c r="H44" i="21"/>
  <c r="H43" i="21"/>
  <c r="K45" i="24"/>
  <c r="B31" i="24" s="1"/>
  <c r="H92" i="18" s="1"/>
  <c r="K43" i="24"/>
  <c r="B29" i="24" s="1"/>
  <c r="H90" i="18" s="1"/>
  <c r="B26" i="24"/>
  <c r="H88" i="18"/>
  <c r="R67" i="18"/>
  <c r="R69" i="18"/>
  <c r="Q66" i="18"/>
  <c r="Q68" i="18"/>
  <c r="R66" i="18"/>
  <c r="R68" i="18"/>
  <c r="Q67" i="18"/>
  <c r="Q69" i="18"/>
  <c r="P68" i="18"/>
  <c r="O69" i="18"/>
  <c r="P69" i="18"/>
  <c r="O66" i="18"/>
  <c r="P66" i="18"/>
  <c r="O68" i="18"/>
  <c r="O67" i="18"/>
  <c r="P67" i="18"/>
  <c r="T88" i="18"/>
  <c r="M40" i="7"/>
  <c r="T89" i="18"/>
  <c r="M41" i="7"/>
  <c r="T91" i="18"/>
  <c r="T90" i="18"/>
  <c r="M42" i="7"/>
  <c r="G193" i="18"/>
  <c r="L10" i="27"/>
  <c r="L198" i="18"/>
  <c r="I37" i="21"/>
  <c r="I43" i="21" s="1"/>
  <c r="J35" i="21"/>
  <c r="I45" i="21"/>
  <c r="T220" i="18" a="1"/>
  <c r="C61" i="18" a="1"/>
  <c r="T33" i="18" a="1"/>
  <c r="T190" i="18"/>
  <c r="T188" i="18"/>
  <c r="M62" i="7"/>
  <c r="T187" i="18"/>
  <c r="M61" i="7"/>
  <c r="T189" i="18"/>
  <c r="M63" i="7"/>
  <c r="I44" i="27"/>
  <c r="J35" i="22"/>
  <c r="I36" i="22"/>
  <c r="J37" i="30"/>
  <c r="K36" i="30"/>
  <c r="J45" i="30"/>
  <c r="J37" i="21"/>
  <c r="J43" i="21" s="1"/>
  <c r="J45" i="21"/>
  <c r="K35" i="21"/>
  <c r="T289" i="18"/>
  <c r="T288" i="18"/>
  <c r="M84" i="7"/>
  <c r="T286" i="18"/>
  <c r="M82" i="7"/>
  <c r="T287" i="18"/>
  <c r="M83" i="7"/>
  <c r="H37" i="22"/>
  <c r="I43" i="29"/>
  <c r="T156" i="18"/>
  <c r="M56" i="7"/>
  <c r="T157" i="18"/>
  <c r="T154" i="18"/>
  <c r="M54" i="7"/>
  <c r="T155" i="18"/>
  <c r="M55" i="7"/>
  <c r="T253" i="18"/>
  <c r="M75" i="7"/>
  <c r="T254" i="18"/>
  <c r="M76" i="7"/>
  <c r="T256" i="18"/>
  <c r="T255" i="18"/>
  <c r="M77" i="7"/>
  <c r="J37" i="29"/>
  <c r="J44" i="29"/>
  <c r="K36" i="29"/>
  <c r="B26" i="29"/>
  <c r="H253" i="18"/>
  <c r="J45" i="29"/>
  <c r="T220" i="18"/>
  <c r="M68" i="7"/>
  <c r="T222" i="18"/>
  <c r="M70" i="7"/>
  <c r="T223" i="18"/>
  <c r="T221" i="18"/>
  <c r="M69" i="7"/>
  <c r="K36" i="27"/>
  <c r="J37" i="27"/>
  <c r="J44" i="27"/>
  <c r="J45" i="27"/>
  <c r="J36" i="25"/>
  <c r="I43" i="25"/>
  <c r="I42" i="25"/>
  <c r="K45" i="21"/>
  <c r="H44" i="22"/>
  <c r="J44" i="30"/>
  <c r="K37" i="21"/>
  <c r="K44" i="21" s="1"/>
  <c r="B25" i="21"/>
  <c r="H21" i="18" s="1"/>
  <c r="F21" i="18" s="1"/>
  <c r="K37" i="29"/>
  <c r="B27" i="29"/>
  <c r="H254" i="18"/>
  <c r="J36" i="22"/>
  <c r="K35" i="22"/>
  <c r="J45" i="22"/>
  <c r="B31" i="22" s="1"/>
  <c r="H59" i="18" s="1"/>
  <c r="B25" i="22"/>
  <c r="H54" i="18"/>
  <c r="K45" i="29"/>
  <c r="B31" i="29"/>
  <c r="H257" i="18"/>
  <c r="J43" i="30"/>
  <c r="K37" i="27"/>
  <c r="B27" i="27"/>
  <c r="H188" i="18"/>
  <c r="K44" i="27"/>
  <c r="B30" i="27"/>
  <c r="H190" i="18"/>
  <c r="U34" i="18"/>
  <c r="W34" i="18"/>
  <c r="T33" i="18"/>
  <c r="V33" i="18"/>
  <c r="T34" i="18"/>
  <c r="V34" i="18"/>
  <c r="U33" i="18"/>
  <c r="W36" i="18"/>
  <c r="T36" i="18"/>
  <c r="U35" i="18"/>
  <c r="U36" i="18"/>
  <c r="V35" i="18"/>
  <c r="V36" i="18"/>
  <c r="T35" i="18"/>
  <c r="W35" i="18"/>
  <c r="W33" i="18"/>
  <c r="I37" i="22"/>
  <c r="I44" i="22"/>
  <c r="J43" i="27"/>
  <c r="K43" i="27"/>
  <c r="B29" i="27"/>
  <c r="H189" i="18"/>
  <c r="K45" i="27"/>
  <c r="B31" i="27"/>
  <c r="H191" i="18"/>
  <c r="B26" i="27"/>
  <c r="H187" i="18"/>
  <c r="J43" i="29"/>
  <c r="K36" i="25"/>
  <c r="J43" i="25"/>
  <c r="J42" i="25"/>
  <c r="K44" i="29"/>
  <c r="B30" i="29"/>
  <c r="H256" i="18"/>
  <c r="H43" i="22"/>
  <c r="K45" i="30"/>
  <c r="B31" i="30"/>
  <c r="H290" i="18"/>
  <c r="K37" i="30"/>
  <c r="K44" i="30"/>
  <c r="B26" i="30"/>
  <c r="H286" i="18"/>
  <c r="C62" i="18"/>
  <c r="C61" i="18"/>
  <c r="C63" i="18"/>
  <c r="C64" i="18"/>
  <c r="J44" i="21"/>
  <c r="I45" i="22"/>
  <c r="T22" i="18" a="1"/>
  <c r="B27" i="30"/>
  <c r="H287" i="18"/>
  <c r="K43" i="30"/>
  <c r="B29" i="30"/>
  <c r="H288" i="18"/>
  <c r="K43" i="25"/>
  <c r="K42" i="25"/>
  <c r="I43" i="22"/>
  <c r="B30" i="30"/>
  <c r="H289" i="18"/>
  <c r="B30" i="25"/>
  <c r="H124" i="18"/>
  <c r="K43" i="29"/>
  <c r="B29" i="29"/>
  <c r="H255" i="18"/>
  <c r="K43" i="21"/>
  <c r="B27" i="21"/>
  <c r="H23" i="18" s="1"/>
  <c r="F23" i="18" s="1"/>
  <c r="E72" i="18"/>
  <c r="M63" i="18"/>
  <c r="E70" i="18"/>
  <c r="M61" i="18"/>
  <c r="E71" i="18"/>
  <c r="M62" i="18"/>
  <c r="K36" i="22"/>
  <c r="K45" i="22"/>
  <c r="B29" i="25"/>
  <c r="H123" i="18"/>
  <c r="J37" i="22"/>
  <c r="J44" i="22"/>
  <c r="B30" i="22" s="1"/>
  <c r="H58" i="18" s="1"/>
  <c r="B27" i="25"/>
  <c r="H122" i="18"/>
  <c r="K37" i="22"/>
  <c r="K44" i="22"/>
  <c r="B26" i="22"/>
  <c r="H55" i="18"/>
  <c r="F55" i="18"/>
  <c r="B27" i="22"/>
  <c r="H56" i="18"/>
  <c r="F56" i="18"/>
  <c r="T24" i="18"/>
  <c r="M28" i="7"/>
  <c r="T22" i="18"/>
  <c r="M26" i="7"/>
  <c r="T25" i="18"/>
  <c r="T23" i="18"/>
  <c r="M27" i="7"/>
  <c r="F54" i="18"/>
  <c r="C94" i="18" a="1"/>
  <c r="J43" i="22"/>
  <c r="B29" i="22" s="1"/>
  <c r="H57" i="18" s="1"/>
  <c r="K43" i="22"/>
  <c r="C94" i="18"/>
  <c r="C96" i="18"/>
  <c r="C95" i="18"/>
  <c r="C97" i="18"/>
  <c r="M94" i="18"/>
  <c r="E103" i="18"/>
  <c r="E104" i="18"/>
  <c r="F88" i="18"/>
  <c r="M95" i="18"/>
  <c r="E105" i="18"/>
  <c r="F89" i="18"/>
  <c r="M96" i="18"/>
  <c r="F87" i="18"/>
  <c r="C127" i="18" a="1"/>
  <c r="C129" i="18"/>
  <c r="C128" i="18"/>
  <c r="C127" i="18"/>
  <c r="C130" i="18"/>
  <c r="M127" i="18"/>
  <c r="E136" i="18"/>
  <c r="M128" i="18"/>
  <c r="E137" i="18"/>
  <c r="F121" i="18"/>
  <c r="E138" i="18"/>
  <c r="F122" i="18"/>
  <c r="M129" i="18"/>
  <c r="F120" i="18"/>
  <c r="C160" i="18" a="1"/>
  <c r="C162" i="18"/>
  <c r="C161" i="18"/>
  <c r="C160" i="18"/>
  <c r="C163" i="18"/>
  <c r="E169" i="18"/>
  <c r="M160" i="18"/>
  <c r="E170" i="18"/>
  <c r="F154" i="18"/>
  <c r="M161" i="18"/>
  <c r="E171" i="18"/>
  <c r="F155" i="18"/>
  <c r="M162" i="18"/>
  <c r="F153" i="18"/>
  <c r="C193" i="18" a="1"/>
  <c r="C195" i="18"/>
  <c r="C194" i="18"/>
  <c r="C193" i="18"/>
  <c r="C196" i="18"/>
  <c r="E202" i="18"/>
  <c r="M193" i="18"/>
  <c r="M194" i="18"/>
  <c r="E203" i="18"/>
  <c r="F187" i="18"/>
  <c r="M195" i="18"/>
  <c r="E204" i="18"/>
  <c r="F188" i="18"/>
  <c r="F186" i="18"/>
  <c r="C226" i="18" a="1"/>
  <c r="C228" i="18"/>
  <c r="C227" i="18"/>
  <c r="C226" i="18"/>
  <c r="C229" i="18"/>
  <c r="M228" i="18"/>
  <c r="E237" i="18"/>
  <c r="F221" i="18"/>
  <c r="M226" i="18"/>
  <c r="E235" i="18"/>
  <c r="M227" i="18"/>
  <c r="E236" i="18"/>
  <c r="F220" i="18"/>
  <c r="F219" i="18"/>
  <c r="C259" i="18" a="1"/>
  <c r="C259" i="18"/>
  <c r="C261" i="18"/>
  <c r="C260" i="18"/>
  <c r="C262" i="18"/>
  <c r="E269" i="18"/>
  <c r="F253" i="18"/>
  <c r="M260" i="18"/>
  <c r="M261" i="18"/>
  <c r="E270" i="18"/>
  <c r="F254" i="18"/>
  <c r="E268" i="18"/>
  <c r="M259" i="18"/>
  <c r="F252" i="18"/>
  <c r="C292" i="18" a="1"/>
  <c r="C292" i="18"/>
  <c r="C294" i="18"/>
  <c r="C293" i="18"/>
  <c r="C295" i="18"/>
  <c r="M292" i="18"/>
  <c r="E301" i="18"/>
  <c r="M293" i="18"/>
  <c r="E302" i="18"/>
  <c r="F286" i="18"/>
  <c r="M294" i="18"/>
  <c r="E303" i="18"/>
  <c r="F287" i="18"/>
  <c r="F285" i="18"/>
  <c r="C325" i="18" a="1"/>
  <c r="C326" i="18"/>
  <c r="C327" i="18"/>
  <c r="C325" i="18"/>
  <c r="C328" i="18"/>
  <c r="M326" i="18"/>
  <c r="E335" i="18"/>
  <c r="F319" i="18"/>
  <c r="M325" i="18"/>
  <c r="E334" i="18"/>
  <c r="F318" i="18"/>
  <c r="M327" i="18"/>
  <c r="E336" i="18"/>
  <c r="F320" i="18"/>
  <c r="B28" i="9" l="1"/>
  <c r="E22" i="9" s="1"/>
  <c r="C65" i="18" a="1"/>
  <c r="C65" i="18" s="1"/>
  <c r="M64" i="18" s="1"/>
  <c r="E42" i="18"/>
  <c r="J106" i="27"/>
  <c r="J53" i="27" s="1"/>
  <c r="J98" i="21"/>
  <c r="J51" i="21" s="1"/>
  <c r="H101" i="28"/>
  <c r="H51" i="28" s="1"/>
  <c r="K102" i="31"/>
  <c r="K52" i="31" s="1"/>
  <c r="K102" i="29"/>
  <c r="K52" i="29" s="1"/>
  <c r="I98" i="31"/>
  <c r="I51" i="31" s="1"/>
  <c r="K106" i="30"/>
  <c r="K53" i="30" s="1"/>
  <c r="H101" i="25"/>
  <c r="H51" i="25" s="1"/>
  <c r="I106" i="30"/>
  <c r="I53" i="30" s="1"/>
  <c r="I106" i="24"/>
  <c r="I53" i="24" s="1"/>
  <c r="I105" i="25"/>
  <c r="I52" i="25" s="1"/>
  <c r="K98" i="27"/>
  <c r="K51" i="27" s="1"/>
  <c r="K106" i="31"/>
  <c r="K53" i="31" s="1"/>
  <c r="J97" i="26"/>
  <c r="J50" i="26" s="1"/>
  <c r="K106" i="29"/>
  <c r="K53" i="29" s="1"/>
  <c r="K98" i="24"/>
  <c r="K51" i="24" s="1"/>
  <c r="H102" i="29"/>
  <c r="H52" i="29" s="1"/>
  <c r="H101" i="26"/>
  <c r="H51" i="26" s="1"/>
  <c r="J105" i="28"/>
  <c r="J52" i="28" s="1"/>
  <c r="J106" i="30"/>
  <c r="J53" i="30" s="1"/>
  <c r="I105" i="26"/>
  <c r="I52" i="26" s="1"/>
  <c r="K97" i="28"/>
  <c r="K50" i="28" s="1"/>
  <c r="K98" i="29"/>
  <c r="K51" i="29" s="1"/>
  <c r="H105" i="26"/>
  <c r="H52" i="26" s="1"/>
  <c r="H106" i="30"/>
  <c r="H53" i="30" s="1"/>
  <c r="H106" i="24"/>
  <c r="H53" i="24" s="1"/>
  <c r="H105" i="25"/>
  <c r="H52" i="25" s="1"/>
  <c r="J97" i="28"/>
  <c r="J50" i="28" s="1"/>
  <c r="I97" i="28"/>
  <c r="I50" i="28" s="1"/>
  <c r="H98" i="30"/>
  <c r="H51" i="30" s="1"/>
  <c r="J106" i="31"/>
  <c r="J53" i="31" s="1"/>
  <c r="K102" i="22"/>
  <c r="K52" i="22" s="1"/>
  <c r="K101" i="28"/>
  <c r="K51" i="28" s="1"/>
  <c r="K101" i="25"/>
  <c r="K51" i="25" s="1"/>
  <c r="H102" i="30"/>
  <c r="H52" i="30" s="1"/>
  <c r="K98" i="30"/>
  <c r="K51" i="30" s="1"/>
  <c r="J98" i="29"/>
  <c r="J51" i="29" s="1"/>
  <c r="H106" i="29"/>
  <c r="H53" i="29" s="1"/>
  <c r="H102" i="21"/>
  <c r="H52" i="21" s="1"/>
  <c r="I98" i="29"/>
  <c r="I51" i="29" s="1"/>
  <c r="I102" i="31"/>
  <c r="I52" i="31" s="1"/>
  <c r="I98" i="30"/>
  <c r="I51" i="30" s="1"/>
  <c r="K102" i="27"/>
  <c r="K52" i="27" s="1"/>
  <c r="I102" i="22"/>
  <c r="I52" i="22" s="1"/>
  <c r="H97" i="25"/>
  <c r="H50" i="25" s="1"/>
  <c r="H97" i="26"/>
  <c r="H50" i="26" s="1"/>
  <c r="J101" i="26"/>
  <c r="J51" i="26" s="1"/>
  <c r="J101" i="28"/>
  <c r="J51" i="28" s="1"/>
  <c r="J102" i="29"/>
  <c r="J52" i="29" s="1"/>
  <c r="I106" i="31"/>
  <c r="I53" i="31" s="1"/>
  <c r="H98" i="21"/>
  <c r="H51" i="21" s="1"/>
  <c r="J98" i="24"/>
  <c r="J51" i="24" s="1"/>
  <c r="I101" i="25"/>
  <c r="I51" i="25" s="1"/>
  <c r="I101" i="26"/>
  <c r="I51" i="26" s="1"/>
  <c r="I102" i="27"/>
  <c r="I52" i="27" s="1"/>
  <c r="K106" i="27"/>
  <c r="K53" i="27" s="1"/>
  <c r="K105" i="28"/>
  <c r="K52" i="28" s="1"/>
  <c r="H98" i="27"/>
  <c r="H51" i="27" s="1"/>
  <c r="I106" i="29"/>
  <c r="I53" i="29" s="1"/>
  <c r="J106" i="24"/>
  <c r="J53" i="24" s="1"/>
  <c r="K106" i="22"/>
  <c r="K53" i="22" s="1"/>
  <c r="J102" i="27"/>
  <c r="J52" i="27" s="1"/>
  <c r="I102" i="21"/>
  <c r="I52" i="21" s="1"/>
  <c r="I106" i="22"/>
  <c r="I53" i="22" s="1"/>
  <c r="J98" i="30"/>
  <c r="J51" i="30" s="1"/>
  <c r="H98" i="31"/>
  <c r="H51" i="31" s="1"/>
  <c r="J105" i="25"/>
  <c r="J52" i="25" s="1"/>
  <c r="H102" i="27"/>
  <c r="H52" i="27" s="1"/>
  <c r="H98" i="29"/>
  <c r="H51" i="29" s="1"/>
  <c r="K102" i="30"/>
  <c r="K52" i="30" s="1"/>
  <c r="J97" i="25"/>
  <c r="J50" i="25" s="1"/>
  <c r="K97" i="26"/>
  <c r="K50" i="26" s="1"/>
  <c r="I102" i="29"/>
  <c r="I52" i="29" s="1"/>
  <c r="J102" i="30"/>
  <c r="J52" i="30" s="1"/>
  <c r="I97" i="25"/>
  <c r="I50" i="25" s="1"/>
  <c r="I106" i="27"/>
  <c r="I53" i="27" s="1"/>
  <c r="I98" i="21"/>
  <c r="I51" i="21" s="1"/>
  <c r="J98" i="27"/>
  <c r="J51" i="27" s="1"/>
  <c r="I105" i="28"/>
  <c r="I52" i="28" s="1"/>
  <c r="K101" i="26"/>
  <c r="K51" i="26" s="1"/>
  <c r="B57" i="21"/>
  <c r="H19" i="18" s="1"/>
  <c r="K112" i="21"/>
  <c r="K113" i="21" s="1"/>
  <c r="K59" i="21" s="1"/>
  <c r="J112" i="21"/>
  <c r="J113" i="21" s="1"/>
  <c r="J59" i="21" s="1"/>
  <c r="J106" i="21"/>
  <c r="J53" i="21" s="1"/>
  <c r="B56" i="21"/>
  <c r="H18" i="18" s="1"/>
  <c r="B55" i="21"/>
  <c r="H17" i="18" s="1"/>
  <c r="J102" i="21"/>
  <c r="J52" i="21" s="1"/>
  <c r="K98" i="21"/>
  <c r="K51" i="21" s="1"/>
  <c r="J98" i="22"/>
  <c r="J51" i="22" s="1"/>
  <c r="B56" i="22"/>
  <c r="H51" i="18" s="1"/>
  <c r="J106" i="22"/>
  <c r="J53" i="22" s="1"/>
  <c r="I98" i="22"/>
  <c r="I51" i="22" s="1"/>
  <c r="K122" i="22"/>
  <c r="K123" i="22" s="1"/>
  <c r="K61" i="22" s="1"/>
  <c r="B57" i="22" s="1"/>
  <c r="H52" i="18" s="1"/>
  <c r="B55" i="22"/>
  <c r="H50" i="18" s="1"/>
  <c r="H98" i="22"/>
  <c r="H51" i="22" s="1"/>
  <c r="H102" i="22"/>
  <c r="H52" i="22" s="1"/>
  <c r="K98" i="22"/>
  <c r="K51" i="22" s="1"/>
  <c r="J102" i="22"/>
  <c r="J52" i="22" s="1"/>
  <c r="K102" i="24"/>
  <c r="K52" i="24" s="1"/>
  <c r="J117" i="24"/>
  <c r="J118" i="24" s="1"/>
  <c r="J60" i="24" s="1"/>
  <c r="B30" i="24"/>
  <c r="H91" i="18" s="1"/>
  <c r="J102" i="24"/>
  <c r="J52" i="24" s="1"/>
  <c r="B55" i="24"/>
  <c r="H83" i="18" s="1"/>
  <c r="I102" i="24"/>
  <c r="I52" i="24" s="1"/>
  <c r="B56" i="24"/>
  <c r="H84" i="18" s="1"/>
  <c r="B57" i="24"/>
  <c r="H85" i="18" s="1"/>
  <c r="I40" i="21"/>
  <c r="J40" i="21" s="1"/>
  <c r="K40" i="21" s="1"/>
  <c r="I41" i="21"/>
  <c r="J41" i="21" s="1"/>
  <c r="K41" i="21" s="1"/>
  <c r="B31" i="21"/>
  <c r="H26" i="18" s="1"/>
  <c r="I44" i="21"/>
  <c r="H39" i="21"/>
  <c r="H97" i="28"/>
  <c r="H50" i="28" s="1"/>
  <c r="K106" i="24"/>
  <c r="K53" i="24" s="1"/>
  <c r="J101" i="25"/>
  <c r="J51" i="25" s="1"/>
  <c r="J106" i="29"/>
  <c r="J53" i="29" s="1"/>
  <c r="H102" i="24"/>
  <c r="H52" i="24" s="1"/>
  <c r="I97" i="26"/>
  <c r="I50" i="26" s="1"/>
  <c r="K105" i="25"/>
  <c r="K52" i="25" s="1"/>
  <c r="I98" i="27"/>
  <c r="I51" i="27" s="1"/>
  <c r="H106" i="27"/>
  <c r="H53" i="27" s="1"/>
  <c r="I102" i="30"/>
  <c r="I52" i="30" s="1"/>
  <c r="H106" i="22"/>
  <c r="H53" i="22" s="1"/>
  <c r="H102" i="31"/>
  <c r="H52" i="31" s="1"/>
  <c r="B49" i="31" s="1"/>
  <c r="I98" i="24"/>
  <c r="I51" i="24" s="1"/>
  <c r="K105" i="26"/>
  <c r="K52" i="26" s="1"/>
  <c r="J98" i="31"/>
  <c r="J51" i="31" s="1"/>
  <c r="H98" i="24"/>
  <c r="H51" i="24" s="1"/>
  <c r="J105" i="26"/>
  <c r="J52" i="26" s="1"/>
  <c r="H105" i="28"/>
  <c r="H52" i="28" s="1"/>
  <c r="K102" i="21"/>
  <c r="K52" i="21" s="1"/>
  <c r="K106" i="21"/>
  <c r="K53" i="21" s="1"/>
  <c r="I106" i="21"/>
  <c r="I53" i="21" s="1"/>
  <c r="H106" i="21"/>
  <c r="H53" i="21" s="1"/>
  <c r="G24" i="9"/>
  <c r="H23" i="9"/>
  <c r="F25" i="9" s="1"/>
  <c r="I26" i="9"/>
  <c r="G5" i="24"/>
  <c r="G94" i="18" s="1"/>
  <c r="D18" i="25"/>
  <c r="D20" i="25" s="1"/>
  <c r="J6" i="24"/>
  <c r="L18" i="7"/>
  <c r="C120" i="18" s="1"/>
  <c r="C186" i="18" s="1"/>
  <c r="E74" i="18"/>
  <c r="J8" i="24"/>
  <c r="J97" i="18" s="1"/>
  <c r="K9" i="24"/>
  <c r="K98" i="18" s="1"/>
  <c r="K5" i="24"/>
  <c r="K94" i="18" s="1"/>
  <c r="G98" i="18"/>
  <c r="C119" i="18"/>
  <c r="C185" i="18" s="1"/>
  <c r="K19" i="7"/>
  <c r="M19" i="7"/>
  <c r="C121" i="18"/>
  <c r="C187" i="18" s="1"/>
  <c r="AC30" i="18"/>
  <c r="AC28" i="18"/>
  <c r="B29" i="9"/>
  <c r="C68" i="18"/>
  <c r="C67" i="18"/>
  <c r="C66" i="18"/>
  <c r="L10" i="24"/>
  <c r="L99" i="18" s="1"/>
  <c r="H6" i="24"/>
  <c r="H95" i="18" s="1"/>
  <c r="B11" i="21"/>
  <c r="B12" i="21" s="1"/>
  <c r="H25" i="9" l="1"/>
  <c r="F23" i="9"/>
  <c r="B50" i="31"/>
  <c r="B50" i="24"/>
  <c r="B50" i="30"/>
  <c r="B49" i="25"/>
  <c r="B48" i="30"/>
  <c r="B60" i="30" s="1"/>
  <c r="AF291" i="18" s="1"/>
  <c r="B50" i="21"/>
  <c r="B62" i="21" s="1"/>
  <c r="AP27" i="18" s="1"/>
  <c r="AO28" i="18" s="1"/>
  <c r="AP29" i="18" s="1"/>
  <c r="B50" i="25"/>
  <c r="F118" i="18" s="1"/>
  <c r="B50" i="28"/>
  <c r="B62" i="28" s="1"/>
  <c r="AP225" i="18" s="1"/>
  <c r="B50" i="26"/>
  <c r="B62" i="26" s="1"/>
  <c r="AP159" i="18" s="1"/>
  <c r="AO160" i="18" s="1"/>
  <c r="AP161" i="18" s="1"/>
  <c r="B48" i="28"/>
  <c r="F215" i="18" s="1"/>
  <c r="B49" i="28"/>
  <c r="B61" i="28" s="1"/>
  <c r="AK225" i="18" s="1"/>
  <c r="B49" i="26"/>
  <c r="F150" i="18" s="1"/>
  <c r="F316" i="18"/>
  <c r="B62" i="31"/>
  <c r="AP291" i="18" s="1"/>
  <c r="B48" i="22"/>
  <c r="B60" i="22" s="1"/>
  <c r="AF60" i="18" s="1"/>
  <c r="B50" i="27"/>
  <c r="B62" i="27" s="1"/>
  <c r="AP192" i="18" s="1"/>
  <c r="B49" i="29"/>
  <c r="B61" i="29" s="1"/>
  <c r="AK258" i="18" s="1"/>
  <c r="B48" i="27"/>
  <c r="F182" i="18" s="1"/>
  <c r="B48" i="21"/>
  <c r="F17" i="18" s="1"/>
  <c r="B48" i="25"/>
  <c r="B60" i="25" s="1"/>
  <c r="AF126" i="18" s="1"/>
  <c r="B48" i="26"/>
  <c r="B60" i="26" s="1"/>
  <c r="AF159" i="18" s="1"/>
  <c r="B48" i="29"/>
  <c r="B50" i="29"/>
  <c r="B62" i="29" s="1"/>
  <c r="AP258" i="18" s="1"/>
  <c r="B49" i="27"/>
  <c r="F183" i="18" s="1"/>
  <c r="B49" i="21"/>
  <c r="F18" i="18" s="1"/>
  <c r="B48" i="31"/>
  <c r="F314" i="18" s="1"/>
  <c r="B50" i="22"/>
  <c r="F52" i="18" s="1"/>
  <c r="B49" i="30"/>
  <c r="F282" i="18" s="1"/>
  <c r="B49" i="22"/>
  <c r="B61" i="22" s="1"/>
  <c r="AK60" i="18" s="1"/>
  <c r="B49" i="24"/>
  <c r="F84" i="18" s="1"/>
  <c r="I39" i="21"/>
  <c r="J39" i="21" s="1"/>
  <c r="K39" i="21" s="1"/>
  <c r="B29" i="21" s="1"/>
  <c r="H24" i="18" s="1"/>
  <c r="B30" i="21"/>
  <c r="H25" i="18" s="1"/>
  <c r="B48" i="24"/>
  <c r="F315" i="18"/>
  <c r="B61" i="31"/>
  <c r="AK324" i="18" s="1"/>
  <c r="F283" i="18"/>
  <c r="B62" i="30"/>
  <c r="B61" i="25"/>
  <c r="AK126" i="18" s="1"/>
  <c r="F117" i="18"/>
  <c r="B62" i="24"/>
  <c r="AP93" i="18" s="1"/>
  <c r="F85" i="18"/>
  <c r="L19" i="7"/>
  <c r="J95" i="18"/>
  <c r="H8" i="24"/>
  <c r="H97" i="18" s="1"/>
  <c r="B38" i="9"/>
  <c r="E26" i="9"/>
  <c r="I22" i="9" s="1"/>
  <c r="J27" i="9"/>
  <c r="AC33" i="18" a="1"/>
  <c r="J8" i="21"/>
  <c r="G5" i="21"/>
  <c r="G28" i="18" s="1"/>
  <c r="K9" i="21"/>
  <c r="K32" i="18" s="1"/>
  <c r="L6" i="21"/>
  <c r="K7" i="21"/>
  <c r="I7" i="21"/>
  <c r="I30" i="18" s="1"/>
  <c r="G9" i="21"/>
  <c r="G32" i="18" s="1"/>
  <c r="H6" i="21"/>
  <c r="H29" i="18" s="1"/>
  <c r="M65" i="18"/>
  <c r="E75" i="18"/>
  <c r="M66" i="18"/>
  <c r="E76" i="18"/>
  <c r="B60" i="27" l="1"/>
  <c r="AF192" i="18" s="1"/>
  <c r="AF194" i="18" s="1"/>
  <c r="AG195" i="18" s="1"/>
  <c r="F217" i="18"/>
  <c r="F216" i="18"/>
  <c r="F151" i="18"/>
  <c r="B60" i="28"/>
  <c r="AF225" i="18" s="1"/>
  <c r="AF227" i="18" s="1"/>
  <c r="AG228" i="18" s="1"/>
  <c r="F19" i="18"/>
  <c r="AO29" i="18"/>
  <c r="AP28" i="18" s="1"/>
  <c r="B61" i="24"/>
  <c r="AK93" i="18" s="1"/>
  <c r="AJ94" i="18" s="1"/>
  <c r="F281" i="18"/>
  <c r="F184" i="18"/>
  <c r="F50" i="18"/>
  <c r="B62" i="25"/>
  <c r="AP126" i="18" s="1"/>
  <c r="AO127" i="18" s="1"/>
  <c r="AP128" i="18" s="1"/>
  <c r="F116" i="18"/>
  <c r="B61" i="21"/>
  <c r="AK27" i="18" s="1"/>
  <c r="AJ30" i="18" s="1"/>
  <c r="AL28" i="18" s="1"/>
  <c r="AO161" i="18"/>
  <c r="AP160" i="18" s="1"/>
  <c r="AP324" i="18"/>
  <c r="AO325" i="18" s="1"/>
  <c r="AP326" i="18" s="1"/>
  <c r="B60" i="21"/>
  <c r="AF27" i="18" s="1"/>
  <c r="AF29" i="18" s="1"/>
  <c r="F249" i="18"/>
  <c r="F51" i="18"/>
  <c r="B61" i="26"/>
  <c r="AK159" i="18" s="1"/>
  <c r="AL162" i="18" s="1"/>
  <c r="B62" i="22"/>
  <c r="AP60" i="18" s="1"/>
  <c r="AO61" i="18" s="1"/>
  <c r="AP62" i="18" s="1"/>
  <c r="F250" i="18"/>
  <c r="B60" i="29"/>
  <c r="AF258" i="18" s="1"/>
  <c r="F248" i="18"/>
  <c r="F149" i="18"/>
  <c r="B61" i="27"/>
  <c r="AK192" i="18" s="1"/>
  <c r="AL195" i="18" s="1"/>
  <c r="B61" i="30"/>
  <c r="AK291" i="18" s="1"/>
  <c r="AJ292" i="18" s="1"/>
  <c r="B60" i="31"/>
  <c r="AF324" i="18" s="1"/>
  <c r="AF326" i="18" s="1"/>
  <c r="AG327" i="18" s="1"/>
  <c r="BE28" i="18" a="1"/>
  <c r="BE31" i="18" s="1"/>
  <c r="B60" i="24"/>
  <c r="AF93" i="18" s="1"/>
  <c r="F83" i="18"/>
  <c r="AG194" i="18"/>
  <c r="AF195" i="18" s="1"/>
  <c r="AO292" i="18"/>
  <c r="AP293" i="18" s="1"/>
  <c r="AO293" i="18"/>
  <c r="AP292" i="18" s="1"/>
  <c r="AL327" i="18"/>
  <c r="AJ325" i="18"/>
  <c r="AJ327" i="18"/>
  <c r="AL325" i="18" s="1"/>
  <c r="AF293" i="18"/>
  <c r="AG294" i="18" s="1"/>
  <c r="AG293" i="18"/>
  <c r="AF294" i="18" s="1"/>
  <c r="AO259" i="18"/>
  <c r="AP260" i="18" s="1"/>
  <c r="AO260" i="18"/>
  <c r="AP259" i="18" s="1"/>
  <c r="AJ259" i="18"/>
  <c r="AJ261" i="18"/>
  <c r="AL259" i="18" s="1"/>
  <c r="AL261" i="18"/>
  <c r="AJ226" i="18"/>
  <c r="AJ228" i="18"/>
  <c r="AL226" i="18" s="1"/>
  <c r="AL228" i="18"/>
  <c r="AO226" i="18"/>
  <c r="AP227" i="18" s="1"/>
  <c r="AO227" i="18"/>
  <c r="AP226" i="18" s="1"/>
  <c r="AO193" i="18"/>
  <c r="AP194" i="18" s="1"/>
  <c r="AO194" i="18"/>
  <c r="AP193" i="18" s="1"/>
  <c r="AG161" i="18"/>
  <c r="AF162" i="18" s="1"/>
  <c r="AF161" i="18"/>
  <c r="AG162" i="18" s="1"/>
  <c r="AF128" i="18"/>
  <c r="AG129" i="18" s="1"/>
  <c r="AG128" i="18"/>
  <c r="AF129" i="18" s="1"/>
  <c r="AJ127" i="18"/>
  <c r="AJ129" i="18"/>
  <c r="AL127" i="18" s="1"/>
  <c r="AL129" i="18"/>
  <c r="AO95" i="18"/>
  <c r="AP94" i="18" s="1"/>
  <c r="AO94" i="18"/>
  <c r="AP95" i="18" s="1"/>
  <c r="AJ63" i="18"/>
  <c r="AL61" i="18" s="1"/>
  <c r="AL63" i="18"/>
  <c r="AJ61" i="18"/>
  <c r="AF62" i="18"/>
  <c r="AG63" i="18" s="1"/>
  <c r="AG62" i="18"/>
  <c r="AF63" i="18" s="1"/>
  <c r="F61" i="18" a="1"/>
  <c r="F64" i="18" s="1"/>
  <c r="J21" i="18" s="1"/>
  <c r="K30" i="18"/>
  <c r="I9" i="21"/>
  <c r="I32" i="18" s="1"/>
  <c r="J31" i="18"/>
  <c r="L10" i="21"/>
  <c r="L33" i="18" s="1"/>
  <c r="H10" i="21"/>
  <c r="H33" i="18" s="1"/>
  <c r="L29" i="18"/>
  <c r="AC36" i="18"/>
  <c r="AC33" i="18"/>
  <c r="C24" i="18" s="1"/>
  <c r="C46" i="18" s="1"/>
  <c r="AC61" i="18" s="1"/>
  <c r="AC34" i="18"/>
  <c r="C25" i="18" s="1"/>
  <c r="C47" i="18" s="1"/>
  <c r="AC62" i="18" s="1"/>
  <c r="AC35" i="18"/>
  <c r="C26" i="18" s="1"/>
  <c r="C48" i="18" s="1"/>
  <c r="AC63" i="18" s="1"/>
  <c r="C98" i="18" a="1"/>
  <c r="AL96" i="18" l="1"/>
  <c r="AJ96" i="18"/>
  <c r="AL94" i="18" s="1"/>
  <c r="AG227" i="18"/>
  <c r="AF228" i="18" s="1"/>
  <c r="AO326" i="18"/>
  <c r="AP325" i="18" s="1"/>
  <c r="AO128" i="18"/>
  <c r="AP127" i="18" s="1"/>
  <c r="AG29" i="18"/>
  <c r="AF30" i="18" s="1"/>
  <c r="AL30" i="18"/>
  <c r="AL294" i="18"/>
  <c r="AJ193" i="18"/>
  <c r="AJ195" i="18"/>
  <c r="AL193" i="18" s="1"/>
  <c r="AJ160" i="18"/>
  <c r="AJ28" i="18"/>
  <c r="AZ28" i="18" s="1" a="1"/>
  <c r="AJ162" i="18"/>
  <c r="AL160" i="18" s="1"/>
  <c r="AJ294" i="18"/>
  <c r="AL292" i="18" s="1"/>
  <c r="AO62" i="18"/>
  <c r="AP61" i="18" s="1"/>
  <c r="BE61" i="18" s="1" a="1"/>
  <c r="AG260" i="18"/>
  <c r="AF261" i="18" s="1"/>
  <c r="AF260" i="18"/>
  <c r="AG261" i="18" s="1"/>
  <c r="AG326" i="18"/>
  <c r="AF327" i="18" s="1"/>
  <c r="BE30" i="18"/>
  <c r="BF30" i="18" s="1"/>
  <c r="BG30" i="18" s="1"/>
  <c r="Q31" i="18" s="1"/>
  <c r="R24" i="18" s="1"/>
  <c r="BE29" i="18"/>
  <c r="BF29" i="18" s="1"/>
  <c r="BG29" i="18" s="1"/>
  <c r="Q30" i="18" s="1"/>
  <c r="R16" i="18" s="1"/>
  <c r="BE28" i="18"/>
  <c r="BF28" i="18" s="1"/>
  <c r="BG28" i="18" s="1"/>
  <c r="Q29" i="18" s="1"/>
  <c r="R22" i="18" s="1"/>
  <c r="F66" i="18"/>
  <c r="J23" i="18" s="1"/>
  <c r="F65" i="18"/>
  <c r="J22" i="18" s="1"/>
  <c r="L21" i="18" s="1" a="1"/>
  <c r="F63" i="18"/>
  <c r="Y50" i="18" s="1"/>
  <c r="F62" i="18"/>
  <c r="Y49" i="18" s="1"/>
  <c r="F61" i="18"/>
  <c r="Y48" i="18" s="1"/>
  <c r="Y55" i="18" s="1" a="1"/>
  <c r="AF95" i="18"/>
  <c r="AG96" i="18" s="1"/>
  <c r="AG95" i="18"/>
  <c r="AF96" i="18" s="1"/>
  <c r="AG30" i="18"/>
  <c r="AU28" i="18" a="1"/>
  <c r="F28" i="18" a="1"/>
  <c r="F30" i="18" s="1"/>
  <c r="Y17" i="18" s="1"/>
  <c r="C98" i="18"/>
  <c r="C99" i="18"/>
  <c r="C100" i="18"/>
  <c r="C101" i="18"/>
  <c r="AU61" i="18" a="1"/>
  <c r="AZ61" i="18" a="1"/>
  <c r="AC66" i="18" a="1"/>
  <c r="R15" i="18"/>
  <c r="R23" i="18" l="1"/>
  <c r="W22" i="18" s="1" a="1"/>
  <c r="W23" i="18" s="1"/>
  <c r="P27" i="7" s="1"/>
  <c r="R17" i="18"/>
  <c r="F32" i="18"/>
  <c r="F29" i="18"/>
  <c r="Y16" i="18" s="1"/>
  <c r="F33" i="18"/>
  <c r="F31" i="18"/>
  <c r="F28" i="18"/>
  <c r="Y15" i="18" s="1"/>
  <c r="AZ30" i="18"/>
  <c r="BA30" i="18" s="1"/>
  <c r="BB30" i="18" s="1"/>
  <c r="P31" i="18" s="1"/>
  <c r="AZ28" i="18"/>
  <c r="BA28" i="18" s="1"/>
  <c r="BB28" i="18" s="1"/>
  <c r="P29" i="18" s="1"/>
  <c r="AZ31" i="18"/>
  <c r="AZ29" i="18"/>
  <c r="BA29" i="18" s="1"/>
  <c r="BB29" i="18" s="1"/>
  <c r="P30" i="18" s="1"/>
  <c r="AU31" i="18"/>
  <c r="AU28" i="18"/>
  <c r="AV28" i="18" s="1"/>
  <c r="AW28" i="18" s="1"/>
  <c r="O29" i="18" s="1"/>
  <c r="AU29" i="18"/>
  <c r="AV29" i="18" s="1"/>
  <c r="AW29" i="18" s="1"/>
  <c r="O30" i="18" s="1"/>
  <c r="AU30" i="18"/>
  <c r="AV30" i="18" s="1"/>
  <c r="AW30" i="18" s="1"/>
  <c r="O31" i="18" s="1"/>
  <c r="AC69" i="18"/>
  <c r="AC66" i="18"/>
  <c r="C57" i="18" s="1"/>
  <c r="C79" i="18" s="1"/>
  <c r="AC94" i="18" s="1"/>
  <c r="AC68" i="18"/>
  <c r="C59" i="18" s="1"/>
  <c r="C81" i="18" s="1"/>
  <c r="AC96" i="18" s="1"/>
  <c r="AC67" i="18"/>
  <c r="C58" i="18" s="1"/>
  <c r="C80" i="18" s="1"/>
  <c r="AC95" i="18" s="1"/>
  <c r="Y55" i="18"/>
  <c r="R33" i="7" s="1"/>
  <c r="Y57" i="18"/>
  <c r="R35" i="7" s="1"/>
  <c r="Y56" i="18"/>
  <c r="R34" i="7" s="1"/>
  <c r="Y58" i="18"/>
  <c r="BE62" i="18"/>
  <c r="BF62" i="18" s="1"/>
  <c r="BG62" i="18" s="1"/>
  <c r="Q63" i="18" s="1"/>
  <c r="BE63" i="18"/>
  <c r="BF63" i="18" s="1"/>
  <c r="BG63" i="18" s="1"/>
  <c r="Q64" i="18" s="1"/>
  <c r="BE64" i="18"/>
  <c r="BE61" i="18"/>
  <c r="BF61" i="18" s="1"/>
  <c r="BG61" i="18" s="1"/>
  <c r="Q62" i="18" s="1"/>
  <c r="AZ61" i="18"/>
  <c r="BA61" i="18" s="1"/>
  <c r="BB61" i="18" s="1"/>
  <c r="P62" i="18" s="1"/>
  <c r="AZ63" i="18"/>
  <c r="BA63" i="18" s="1"/>
  <c r="BB63" i="18" s="1"/>
  <c r="P64" i="18" s="1"/>
  <c r="AZ62" i="18"/>
  <c r="BA62" i="18" s="1"/>
  <c r="BB62" i="18" s="1"/>
  <c r="P63" i="18" s="1"/>
  <c r="AZ64" i="18"/>
  <c r="M99" i="18"/>
  <c r="E109" i="18"/>
  <c r="E108" i="18"/>
  <c r="M98" i="18"/>
  <c r="E107" i="18"/>
  <c r="M97" i="18"/>
  <c r="AU61" i="18"/>
  <c r="AV61" i="18" s="1"/>
  <c r="AW61" i="18" s="1"/>
  <c r="O62" i="18" s="1"/>
  <c r="AU63" i="18"/>
  <c r="AV63" i="18" s="1"/>
  <c r="AW63" i="18" s="1"/>
  <c r="O64" i="18" s="1"/>
  <c r="AU64" i="18"/>
  <c r="AU62" i="18"/>
  <c r="AV62" i="18" s="1"/>
  <c r="AW62" i="18" s="1"/>
  <c r="O63" i="18" s="1"/>
  <c r="L24" i="18"/>
  <c r="L23" i="18"/>
  <c r="F26" i="18" s="1"/>
  <c r="L21" i="18"/>
  <c r="F24" i="18" s="1"/>
  <c r="L22" i="18"/>
  <c r="F25" i="18" s="1"/>
  <c r="Y22" i="18" l="1" a="1"/>
  <c r="W22" i="18"/>
  <c r="P26" i="7" s="1"/>
  <c r="W24" i="18"/>
  <c r="P28" i="7" s="1"/>
  <c r="W25" i="18"/>
  <c r="F94" i="18" a="1"/>
  <c r="F96" i="18" s="1"/>
  <c r="Y83" i="18" s="1"/>
  <c r="Q17" i="18"/>
  <c r="Q24" i="18"/>
  <c r="Q16" i="18"/>
  <c r="Q23" i="18"/>
  <c r="Q15" i="18"/>
  <c r="Q22" i="18"/>
  <c r="P17" i="18"/>
  <c r="P24" i="18"/>
  <c r="P16" i="18"/>
  <c r="P23" i="18"/>
  <c r="P22" i="18"/>
  <c r="U22" i="18" s="1" a="1"/>
  <c r="P15" i="18"/>
  <c r="Y24" i="18"/>
  <c r="R28" i="7" s="1"/>
  <c r="Y22" i="18"/>
  <c r="R26" i="7" s="1"/>
  <c r="Y23" i="18"/>
  <c r="R27" i="7" s="1"/>
  <c r="Y25" i="18"/>
  <c r="R57" i="18"/>
  <c r="R50" i="18"/>
  <c r="R56" i="18"/>
  <c r="R49" i="18"/>
  <c r="P56" i="18"/>
  <c r="P49" i="18"/>
  <c r="Q57" i="18"/>
  <c r="Q50" i="18"/>
  <c r="C131" i="18" a="1"/>
  <c r="Z16" i="18"/>
  <c r="Z17" i="18"/>
  <c r="Z15" i="18"/>
  <c r="P55" i="18"/>
  <c r="P48" i="18"/>
  <c r="R55" i="18"/>
  <c r="R48" i="18"/>
  <c r="AB17" i="18"/>
  <c r="AB16" i="18"/>
  <c r="AB15" i="18"/>
  <c r="Q56" i="18"/>
  <c r="Q49" i="18"/>
  <c r="P50" i="18"/>
  <c r="P57" i="18"/>
  <c r="Q55" i="18"/>
  <c r="Q48" i="18"/>
  <c r="AA17" i="18"/>
  <c r="AA16" i="18"/>
  <c r="AA15" i="18"/>
  <c r="AZ94" i="18" a="1"/>
  <c r="AU94" i="18" a="1"/>
  <c r="BE94" i="18" a="1"/>
  <c r="AC99" i="18" a="1"/>
  <c r="V22" i="18" l="1" a="1"/>
  <c r="V23" i="18" s="1"/>
  <c r="O27" i="7" s="1"/>
  <c r="F95" i="18"/>
  <c r="Y82" i="18" s="1"/>
  <c r="F94" i="18"/>
  <c r="Y81" i="18" s="1"/>
  <c r="F97" i="18"/>
  <c r="J54" i="18" s="1"/>
  <c r="F99" i="18"/>
  <c r="J56" i="18" s="1"/>
  <c r="AA22" i="18" a="1"/>
  <c r="AA22" i="18" s="1"/>
  <c r="T26" i="7" s="1"/>
  <c r="Z22" i="18" a="1"/>
  <c r="Z22" i="18" s="1"/>
  <c r="S26" i="7" s="1"/>
  <c r="F98" i="18"/>
  <c r="J55" i="18" s="1"/>
  <c r="T15" i="18" a="1"/>
  <c r="U16" i="18" s="1"/>
  <c r="I27" i="7" s="1"/>
  <c r="U24" i="18"/>
  <c r="N28" i="7" s="1"/>
  <c r="U22" i="18"/>
  <c r="N26" i="7" s="1"/>
  <c r="U25" i="18"/>
  <c r="U23" i="18"/>
  <c r="N27" i="7" s="1"/>
  <c r="E27" i="7" s="1"/>
  <c r="Y88" i="18" a="1"/>
  <c r="Y89" i="18" s="1"/>
  <c r="R41" i="7" s="1"/>
  <c r="V55" i="18" a="1"/>
  <c r="V56" i="18" s="1"/>
  <c r="O34" i="7" s="1"/>
  <c r="AZ94" i="18"/>
  <c r="BA94" i="18" s="1"/>
  <c r="BB94" i="18" s="1"/>
  <c r="P95" i="18" s="1"/>
  <c r="AZ96" i="18"/>
  <c r="BA96" i="18" s="1"/>
  <c r="BB96" i="18" s="1"/>
  <c r="P97" i="18" s="1"/>
  <c r="AZ95" i="18"/>
  <c r="BA95" i="18" s="1"/>
  <c r="BB95" i="18" s="1"/>
  <c r="P96" i="18" s="1"/>
  <c r="AZ97" i="18"/>
  <c r="AU96" i="18"/>
  <c r="AV96" i="18" s="1"/>
  <c r="AW96" i="18" s="1"/>
  <c r="O97" i="18" s="1"/>
  <c r="AU97" i="18"/>
  <c r="AU94" i="18"/>
  <c r="AV94" i="18" s="1"/>
  <c r="AW94" i="18" s="1"/>
  <c r="O95" i="18" s="1"/>
  <c r="AU95" i="18"/>
  <c r="AV95" i="18" s="1"/>
  <c r="AW95" i="18" s="1"/>
  <c r="O96" i="18" s="1"/>
  <c r="W55" i="18" a="1"/>
  <c r="C133" i="18"/>
  <c r="C131" i="18"/>
  <c r="C132" i="18"/>
  <c r="C134" i="18"/>
  <c r="AA25" i="18"/>
  <c r="AA23" i="18"/>
  <c r="T27" i="7" s="1"/>
  <c r="U55" i="18" a="1"/>
  <c r="AC101" i="18"/>
  <c r="C92" i="18" s="1"/>
  <c r="C114" i="18" s="1"/>
  <c r="AC129" i="18" s="1"/>
  <c r="AC100" i="18"/>
  <c r="C91" i="18" s="1"/>
  <c r="C113" i="18" s="1"/>
  <c r="AC128" i="18" s="1"/>
  <c r="AC99" i="18"/>
  <c r="C90" i="18" s="1"/>
  <c r="C112" i="18" s="1"/>
  <c r="AC127" i="18" s="1"/>
  <c r="AC102" i="18"/>
  <c r="T48" i="18" a="1"/>
  <c r="BE96" i="18"/>
  <c r="BF96" i="18" s="1"/>
  <c r="BG96" i="18" s="1"/>
  <c r="Q97" i="18" s="1"/>
  <c r="BE97" i="18"/>
  <c r="BE95" i="18"/>
  <c r="BF95" i="18" s="1"/>
  <c r="BG95" i="18" s="1"/>
  <c r="Q96" i="18" s="1"/>
  <c r="BE94" i="18"/>
  <c r="BF94" i="18" s="1"/>
  <c r="BG94" i="18" s="1"/>
  <c r="Q95" i="18" s="1"/>
  <c r="L54" i="18" a="1"/>
  <c r="AB22" i="18" a="1"/>
  <c r="V22" i="18" l="1"/>
  <c r="O26" i="7" s="1"/>
  <c r="E26" i="7" s="1"/>
  <c r="V25" i="18"/>
  <c r="V24" i="18"/>
  <c r="O28" i="7" s="1"/>
  <c r="E28" i="7" s="1"/>
  <c r="Y90" i="18"/>
  <c r="R42" i="7" s="1"/>
  <c r="Y91" i="18"/>
  <c r="Z24" i="18"/>
  <c r="S28" i="7" s="1"/>
  <c r="AA24" i="18"/>
  <c r="T28" i="7" s="1"/>
  <c r="Z25" i="18"/>
  <c r="Z23" i="18"/>
  <c r="S27" i="7" s="1"/>
  <c r="U15" i="18"/>
  <c r="I26" i="7" s="1"/>
  <c r="U17" i="18"/>
  <c r="I28" i="7" s="1"/>
  <c r="U18" i="18"/>
  <c r="V15" i="18"/>
  <c r="J26" i="7" s="1"/>
  <c r="Y88" i="18"/>
  <c r="R40" i="7" s="1"/>
  <c r="W17" i="18"/>
  <c r="K28" i="7" s="1"/>
  <c r="V58" i="18"/>
  <c r="V17" i="18"/>
  <c r="J28" i="7" s="1"/>
  <c r="T18" i="18"/>
  <c r="V57" i="18"/>
  <c r="O35" i="7" s="1"/>
  <c r="T17" i="18"/>
  <c r="H28" i="7" s="1"/>
  <c r="V18" i="18"/>
  <c r="W18" i="18"/>
  <c r="W15" i="18"/>
  <c r="K26" i="7" s="1"/>
  <c r="W16" i="18"/>
  <c r="K27" i="7" s="1"/>
  <c r="T16" i="18"/>
  <c r="H27" i="7" s="1"/>
  <c r="T15" i="18"/>
  <c r="H26" i="7" s="1"/>
  <c r="V16" i="18"/>
  <c r="J27" i="7" s="1"/>
  <c r="V55" i="18"/>
  <c r="O33" i="7" s="1"/>
  <c r="R89" i="18"/>
  <c r="R82" i="18"/>
  <c r="R90" i="18"/>
  <c r="R83" i="18"/>
  <c r="M130" i="18"/>
  <c r="E140" i="18"/>
  <c r="P81" i="18"/>
  <c r="P88" i="18"/>
  <c r="P90" i="18"/>
  <c r="P83" i="18"/>
  <c r="E141" i="18"/>
  <c r="M131" i="18"/>
  <c r="E142" i="18"/>
  <c r="M132" i="18"/>
  <c r="Q82" i="18"/>
  <c r="Q89" i="18"/>
  <c r="P89" i="18"/>
  <c r="P82" i="18"/>
  <c r="AB23" i="18"/>
  <c r="U27" i="7" s="1"/>
  <c r="AB25" i="18"/>
  <c r="AB24" i="18"/>
  <c r="U28" i="7" s="1"/>
  <c r="AB22" i="18"/>
  <c r="U26" i="7" s="1"/>
  <c r="F26" i="7" s="1"/>
  <c r="Q90" i="18"/>
  <c r="Q83" i="18"/>
  <c r="V48" i="18"/>
  <c r="J33" i="7" s="1"/>
  <c r="U49" i="18"/>
  <c r="I34" i="7" s="1"/>
  <c r="T51" i="18"/>
  <c r="W51" i="18"/>
  <c r="V50" i="18"/>
  <c r="J35" i="7" s="1"/>
  <c r="W50" i="18"/>
  <c r="K35" i="7" s="1"/>
  <c r="U51" i="18"/>
  <c r="T50" i="18"/>
  <c r="H35" i="7" s="1"/>
  <c r="V49" i="18"/>
  <c r="J34" i="7" s="1"/>
  <c r="U48" i="18"/>
  <c r="I33" i="7" s="1"/>
  <c r="T49" i="18"/>
  <c r="H34" i="7" s="1"/>
  <c r="V51" i="18"/>
  <c r="W48" i="18"/>
  <c r="K33" i="7" s="1"/>
  <c r="T48" i="18"/>
  <c r="H33" i="7" s="1"/>
  <c r="U50" i="18"/>
  <c r="I35" i="7" s="1"/>
  <c r="W49" i="18"/>
  <c r="K34" i="7" s="1"/>
  <c r="U57" i="18"/>
  <c r="N35" i="7" s="1"/>
  <c r="U58" i="18"/>
  <c r="U56" i="18"/>
  <c r="N34" i="7" s="1"/>
  <c r="U55" i="18"/>
  <c r="N33" i="7" s="1"/>
  <c r="Q88" i="18"/>
  <c r="Q81" i="18"/>
  <c r="W55" i="18"/>
  <c r="P33" i="7" s="1"/>
  <c r="W57" i="18"/>
  <c r="P35" i="7" s="1"/>
  <c r="W56" i="18"/>
  <c r="P34" i="7" s="1"/>
  <c r="W58" i="18"/>
  <c r="BE127" i="18" a="1"/>
  <c r="AC132" i="18" a="1"/>
  <c r="AU127" i="18" a="1"/>
  <c r="AZ127" i="18" a="1"/>
  <c r="L54" i="18"/>
  <c r="F57" i="18" s="1"/>
  <c r="L55" i="18"/>
  <c r="F58" i="18" s="1"/>
  <c r="L56" i="18"/>
  <c r="F59" i="18" s="1"/>
  <c r="L57" i="18"/>
  <c r="R88" i="18"/>
  <c r="R81" i="18"/>
  <c r="C26" i="7" l="1"/>
  <c r="D26" i="7"/>
  <c r="C27" i="7"/>
  <c r="D27" i="7"/>
  <c r="C33" i="7"/>
  <c r="D33" i="7"/>
  <c r="C35" i="7"/>
  <c r="D35" i="7"/>
  <c r="F28" i="7"/>
  <c r="C28" i="7"/>
  <c r="D28" i="7"/>
  <c r="D34" i="7"/>
  <c r="C34" i="7"/>
  <c r="F27" i="7"/>
  <c r="F127" i="18" a="1"/>
  <c r="F127" i="18" s="1"/>
  <c r="Y114" i="18" s="1"/>
  <c r="T81" i="18" a="1"/>
  <c r="W84" i="18" s="1"/>
  <c r="AC133" i="18"/>
  <c r="C124" i="18" s="1"/>
  <c r="C146" i="18" s="1"/>
  <c r="AC161" i="18" s="1"/>
  <c r="AC132" i="18"/>
  <c r="C123" i="18" s="1"/>
  <c r="C145" i="18" s="1"/>
  <c r="AC160" i="18" s="1"/>
  <c r="AC135" i="18"/>
  <c r="AC134" i="18"/>
  <c r="C125" i="18" s="1"/>
  <c r="C147" i="18" s="1"/>
  <c r="AC162" i="18" s="1"/>
  <c r="C164" i="18" a="1"/>
  <c r="BE129" i="18"/>
  <c r="BF129" i="18" s="1"/>
  <c r="BG129" i="18" s="1"/>
  <c r="Q130" i="18" s="1"/>
  <c r="BE128" i="18"/>
  <c r="BF128" i="18" s="1"/>
  <c r="BG128" i="18" s="1"/>
  <c r="Q129" i="18" s="1"/>
  <c r="BE127" i="18"/>
  <c r="BF127" i="18" s="1"/>
  <c r="BG127" i="18" s="1"/>
  <c r="Q128" i="18" s="1"/>
  <c r="BE130" i="18"/>
  <c r="AZ129" i="18"/>
  <c r="BA129" i="18" s="1"/>
  <c r="BB129" i="18" s="1"/>
  <c r="P130" i="18" s="1"/>
  <c r="AZ130" i="18"/>
  <c r="AZ128" i="18"/>
  <c r="BA128" i="18" s="1"/>
  <c r="BB128" i="18" s="1"/>
  <c r="P129" i="18" s="1"/>
  <c r="AZ127" i="18"/>
  <c r="BA127" i="18" s="1"/>
  <c r="BB127" i="18" s="1"/>
  <c r="P128" i="18" s="1"/>
  <c r="U88" i="18" a="1"/>
  <c r="AU128" i="18"/>
  <c r="AV128" i="18" s="1"/>
  <c r="AW128" i="18" s="1"/>
  <c r="O129" i="18" s="1"/>
  <c r="AU127" i="18"/>
  <c r="AV127" i="18" s="1"/>
  <c r="AW127" i="18" s="1"/>
  <c r="O128" i="18" s="1"/>
  <c r="AU129" i="18"/>
  <c r="AV129" i="18" s="1"/>
  <c r="AW129" i="18" s="1"/>
  <c r="O130" i="18" s="1"/>
  <c r="AU130" i="18"/>
  <c r="W88" i="18" a="1"/>
  <c r="V88" i="18" a="1"/>
  <c r="E33" i="7"/>
  <c r="E34" i="7"/>
  <c r="E35" i="7"/>
  <c r="AB49" i="18"/>
  <c r="AB48" i="18"/>
  <c r="AB50" i="18"/>
  <c r="AA49" i="18"/>
  <c r="AA50" i="18"/>
  <c r="AA48" i="18"/>
  <c r="AA55" i="18" s="1" a="1"/>
  <c r="Z50" i="18"/>
  <c r="Z49" i="18"/>
  <c r="Z48" i="18"/>
  <c r="F130" i="18" l="1"/>
  <c r="J87" i="18" s="1"/>
  <c r="F131" i="18"/>
  <c r="J88" i="18" s="1"/>
  <c r="F132" i="18"/>
  <c r="J89" i="18" s="1"/>
  <c r="F128" i="18"/>
  <c r="Y115" i="18" s="1"/>
  <c r="F129" i="18"/>
  <c r="Y116" i="18" s="1"/>
  <c r="Y121" i="18" s="1" a="1"/>
  <c r="T81" i="18"/>
  <c r="H40" i="7" s="1"/>
  <c r="U83" i="18"/>
  <c r="I42" i="7" s="1"/>
  <c r="T84" i="18"/>
  <c r="V81" i="18"/>
  <c r="J40" i="7" s="1"/>
  <c r="V82" i="18"/>
  <c r="J41" i="7" s="1"/>
  <c r="U82" i="18"/>
  <c r="I41" i="7" s="1"/>
  <c r="T83" i="18"/>
  <c r="H42" i="7" s="1"/>
  <c r="W82" i="18"/>
  <c r="K41" i="7" s="1"/>
  <c r="W83" i="18"/>
  <c r="K42" i="7" s="1"/>
  <c r="U81" i="18"/>
  <c r="I40" i="7" s="1"/>
  <c r="V83" i="18"/>
  <c r="J42" i="7" s="1"/>
  <c r="W81" i="18"/>
  <c r="K40" i="7" s="1"/>
  <c r="U84" i="18"/>
  <c r="V84" i="18"/>
  <c r="T82" i="18"/>
  <c r="H41" i="7" s="1"/>
  <c r="P121" i="18"/>
  <c r="P114" i="18"/>
  <c r="R122" i="18"/>
  <c r="R115" i="18"/>
  <c r="AZ160" i="18" a="1"/>
  <c r="AU160" i="18" a="1"/>
  <c r="BE160" i="18" a="1"/>
  <c r="AC165" i="18" a="1"/>
  <c r="C166" i="18"/>
  <c r="C164" i="18"/>
  <c r="C165" i="18"/>
  <c r="C167" i="18"/>
  <c r="V88" i="18"/>
  <c r="O40" i="7" s="1"/>
  <c r="V91" i="18"/>
  <c r="V89" i="18"/>
  <c r="O41" i="7" s="1"/>
  <c r="V90" i="18"/>
  <c r="O42" i="7" s="1"/>
  <c r="R121" i="18"/>
  <c r="R114" i="18"/>
  <c r="R123" i="18"/>
  <c r="R116" i="18"/>
  <c r="U88" i="18"/>
  <c r="N40" i="7" s="1"/>
  <c r="U90" i="18"/>
  <c r="N42" i="7" s="1"/>
  <c r="U91" i="18"/>
  <c r="U89" i="18"/>
  <c r="N41" i="7" s="1"/>
  <c r="W89" i="18"/>
  <c r="P41" i="7" s="1"/>
  <c r="W88" i="18"/>
  <c r="P40" i="7" s="1"/>
  <c r="W91" i="18"/>
  <c r="W90" i="18"/>
  <c r="P42" i="7" s="1"/>
  <c r="P116" i="18"/>
  <c r="P123" i="18"/>
  <c r="P122" i="18"/>
  <c r="P115" i="18"/>
  <c r="Q122" i="18"/>
  <c r="Q115" i="18"/>
  <c r="Q116" i="18"/>
  <c r="Q123" i="18"/>
  <c r="AA55" i="18"/>
  <c r="T33" i="7" s="1"/>
  <c r="AA57" i="18"/>
  <c r="T35" i="7" s="1"/>
  <c r="AA58" i="18"/>
  <c r="AA56" i="18"/>
  <c r="T34" i="7" s="1"/>
  <c r="AB55" i="18" a="1"/>
  <c r="Q114" i="18"/>
  <c r="Q121" i="18"/>
  <c r="Z55" i="18" a="1"/>
  <c r="C42" i="7" l="1"/>
  <c r="D42" i="7"/>
  <c r="D41" i="7"/>
  <c r="C41" i="7"/>
  <c r="D40" i="7"/>
  <c r="C40" i="7"/>
  <c r="L87" i="18" a="1"/>
  <c r="E42" i="7"/>
  <c r="E41" i="7"/>
  <c r="E40" i="7"/>
  <c r="E173" i="18"/>
  <c r="M163" i="18"/>
  <c r="V121" i="18" a="1"/>
  <c r="E174" i="18"/>
  <c r="M164" i="18"/>
  <c r="E175" i="18"/>
  <c r="M165" i="18"/>
  <c r="AU161" i="18"/>
  <c r="AV161" i="18" s="1"/>
  <c r="AW161" i="18" s="1"/>
  <c r="O162" i="18" s="1"/>
  <c r="AU163" i="18"/>
  <c r="AU160" i="18"/>
  <c r="AV160" i="18" s="1"/>
  <c r="AW160" i="18" s="1"/>
  <c r="O161" i="18" s="1"/>
  <c r="AU162" i="18"/>
  <c r="AV162" i="18" s="1"/>
  <c r="AW162" i="18" s="1"/>
  <c r="O163" i="18" s="1"/>
  <c r="U121" i="18" a="1"/>
  <c r="AZ163" i="18"/>
  <c r="AZ161" i="18"/>
  <c r="BA161" i="18" s="1"/>
  <c r="BB161" i="18" s="1"/>
  <c r="P162" i="18" s="1"/>
  <c r="AZ162" i="18"/>
  <c r="BA162" i="18" s="1"/>
  <c r="BB162" i="18" s="1"/>
  <c r="P163" i="18" s="1"/>
  <c r="AZ160" i="18"/>
  <c r="BA160" i="18" s="1"/>
  <c r="BB160" i="18" s="1"/>
  <c r="P161" i="18" s="1"/>
  <c r="BE163" i="18"/>
  <c r="BE162" i="18"/>
  <c r="BF162" i="18" s="1"/>
  <c r="BG162" i="18" s="1"/>
  <c r="Q163" i="18" s="1"/>
  <c r="BE161" i="18"/>
  <c r="BF161" i="18" s="1"/>
  <c r="BG161" i="18" s="1"/>
  <c r="Q162" i="18" s="1"/>
  <c r="BE160" i="18"/>
  <c r="BF160" i="18" s="1"/>
  <c r="BG160" i="18" s="1"/>
  <c r="Q161" i="18" s="1"/>
  <c r="W121" i="18" a="1"/>
  <c r="Y123" i="18"/>
  <c r="R49" i="7" s="1"/>
  <c r="Y124" i="18"/>
  <c r="Y121" i="18"/>
  <c r="R47" i="7" s="1"/>
  <c r="Y122" i="18"/>
  <c r="R48" i="7" s="1"/>
  <c r="T114" i="18" a="1"/>
  <c r="AC168" i="18"/>
  <c r="AC165" i="18"/>
  <c r="C156" i="18" s="1"/>
  <c r="C178" i="18" s="1"/>
  <c r="AC193" i="18" s="1"/>
  <c r="AC166" i="18"/>
  <c r="C157" i="18" s="1"/>
  <c r="C179" i="18" s="1"/>
  <c r="AC194" i="18" s="1"/>
  <c r="AC167" i="18"/>
  <c r="C158" i="18" s="1"/>
  <c r="C180" i="18" s="1"/>
  <c r="AC195" i="18" s="1"/>
  <c r="Z58" i="18"/>
  <c r="Z55" i="18"/>
  <c r="S33" i="7" s="1"/>
  <c r="Z56" i="18"/>
  <c r="S34" i="7" s="1"/>
  <c r="Z57" i="18"/>
  <c r="S35" i="7" s="1"/>
  <c r="AB58" i="18"/>
  <c r="AB55" i="18"/>
  <c r="U33" i="7" s="1"/>
  <c r="AB56" i="18"/>
  <c r="U34" i="7" s="1"/>
  <c r="AB57" i="18"/>
  <c r="U35" i="7" s="1"/>
  <c r="L88" i="18" l="1"/>
  <c r="F91" i="18" s="1"/>
  <c r="L87" i="18"/>
  <c r="F90" i="18" s="1"/>
  <c r="L90" i="18"/>
  <c r="L89" i="18"/>
  <c r="F92" i="18" s="1"/>
  <c r="F34" i="7"/>
  <c r="F35" i="7"/>
  <c r="R154" i="18"/>
  <c r="R147" i="18"/>
  <c r="P148" i="18"/>
  <c r="P155" i="18"/>
  <c r="V122" i="18"/>
  <c r="O48" i="7" s="1"/>
  <c r="V123" i="18"/>
  <c r="O49" i="7" s="1"/>
  <c r="V121" i="18"/>
  <c r="O47" i="7" s="1"/>
  <c r="V124" i="18"/>
  <c r="P147" i="18"/>
  <c r="P154" i="18"/>
  <c r="F33" i="7"/>
  <c r="F160" i="18" a="1"/>
  <c r="U121" i="18"/>
  <c r="N47" i="7" s="1"/>
  <c r="U124" i="18"/>
  <c r="U122" i="18"/>
  <c r="N48" i="7" s="1"/>
  <c r="U123" i="18"/>
  <c r="N49" i="7" s="1"/>
  <c r="W114" i="18"/>
  <c r="K47" i="7" s="1"/>
  <c r="U114" i="18"/>
  <c r="I47" i="7" s="1"/>
  <c r="V116" i="18"/>
  <c r="J49" i="7" s="1"/>
  <c r="T116" i="18"/>
  <c r="H49" i="7" s="1"/>
  <c r="V115" i="18"/>
  <c r="J48" i="7" s="1"/>
  <c r="U117" i="18"/>
  <c r="T117" i="18"/>
  <c r="T115" i="18"/>
  <c r="H48" i="7" s="1"/>
  <c r="V117" i="18"/>
  <c r="U115" i="18"/>
  <c r="I48" i="7" s="1"/>
  <c r="W117" i="18"/>
  <c r="T114" i="18"/>
  <c r="H47" i="7" s="1"/>
  <c r="V114" i="18"/>
  <c r="J47" i="7" s="1"/>
  <c r="U116" i="18"/>
  <c r="I49" i="7" s="1"/>
  <c r="W116" i="18"/>
  <c r="K49" i="7" s="1"/>
  <c r="W115" i="18"/>
  <c r="K48" i="7" s="1"/>
  <c r="C197" i="18" a="1"/>
  <c r="Q147" i="18"/>
  <c r="Q154" i="18"/>
  <c r="P149" i="18"/>
  <c r="P156" i="18"/>
  <c r="R155" i="18"/>
  <c r="R148" i="18"/>
  <c r="AZ193" i="18" a="1"/>
  <c r="AC198" i="18" a="1"/>
  <c r="BE193" i="18" a="1"/>
  <c r="AU193" i="18" a="1"/>
  <c r="Q149" i="18"/>
  <c r="Q156" i="18"/>
  <c r="W124" i="18"/>
  <c r="W123" i="18"/>
  <c r="P49" i="7" s="1"/>
  <c r="W122" i="18"/>
  <c r="P48" i="7" s="1"/>
  <c r="W121" i="18"/>
  <c r="P47" i="7" s="1"/>
  <c r="R156" i="18"/>
  <c r="R149" i="18"/>
  <c r="Q155" i="18"/>
  <c r="Q148" i="18"/>
  <c r="D49" i="7" l="1"/>
  <c r="C49" i="7"/>
  <c r="D47" i="7"/>
  <c r="C47" i="7"/>
  <c r="D48" i="7"/>
  <c r="C48" i="7"/>
  <c r="AB81" i="18"/>
  <c r="AB83" i="18"/>
  <c r="AB82" i="18"/>
  <c r="E47" i="7"/>
  <c r="Z83" i="18"/>
  <c r="Z81" i="18"/>
  <c r="Z82" i="18"/>
  <c r="AA81" i="18"/>
  <c r="AA82" i="18"/>
  <c r="AA83" i="18"/>
  <c r="V154" i="18" a="1"/>
  <c r="V154" i="18" s="1"/>
  <c r="O54" i="7" s="1"/>
  <c r="U154" i="18" a="1"/>
  <c r="F163" i="18"/>
  <c r="J120" i="18" s="1"/>
  <c r="F160" i="18"/>
  <c r="Y147" i="18" s="1"/>
  <c r="F164" i="18"/>
  <c r="J121" i="18" s="1"/>
  <c r="F162" i="18"/>
  <c r="Y149" i="18" s="1"/>
  <c r="F165" i="18"/>
  <c r="J122" i="18" s="1"/>
  <c r="F161" i="18"/>
  <c r="Y148" i="18" s="1"/>
  <c r="C198" i="18"/>
  <c r="C199" i="18"/>
  <c r="C200" i="18"/>
  <c r="C197" i="18"/>
  <c r="T147" i="18" a="1"/>
  <c r="BE193" i="18"/>
  <c r="BF193" i="18" s="1"/>
  <c r="BG193" i="18" s="1"/>
  <c r="Q194" i="18" s="1"/>
  <c r="BE196" i="18"/>
  <c r="BE194" i="18"/>
  <c r="BF194" i="18" s="1"/>
  <c r="BG194" i="18" s="1"/>
  <c r="Q195" i="18" s="1"/>
  <c r="BE195" i="18"/>
  <c r="BF195" i="18" s="1"/>
  <c r="BG195" i="18" s="1"/>
  <c r="Q196" i="18" s="1"/>
  <c r="E49" i="7"/>
  <c r="W154" i="18" a="1"/>
  <c r="AZ194" i="18"/>
  <c r="BA194" i="18" s="1"/>
  <c r="BB194" i="18" s="1"/>
  <c r="P195" i="18" s="1"/>
  <c r="AZ195" i="18"/>
  <c r="BA195" i="18" s="1"/>
  <c r="BB195" i="18" s="1"/>
  <c r="P196" i="18" s="1"/>
  <c r="AZ193" i="18"/>
  <c r="BA193" i="18" s="1"/>
  <c r="BB193" i="18" s="1"/>
  <c r="P194" i="18" s="1"/>
  <c r="AZ196" i="18"/>
  <c r="E48" i="7"/>
  <c r="AU196" i="18"/>
  <c r="AU195" i="18"/>
  <c r="AV195" i="18" s="1"/>
  <c r="AW195" i="18" s="1"/>
  <c r="O196" i="18" s="1"/>
  <c r="AU193" i="18"/>
  <c r="AV193" i="18" s="1"/>
  <c r="AW193" i="18" s="1"/>
  <c r="O194" i="18" s="1"/>
  <c r="AU194" i="18"/>
  <c r="AV194" i="18" s="1"/>
  <c r="AW194" i="18" s="1"/>
  <c r="O195" i="18" s="1"/>
  <c r="AC199" i="18"/>
  <c r="C190" i="18" s="1"/>
  <c r="C212" i="18" s="1"/>
  <c r="AC227" i="18" s="1"/>
  <c r="AC198" i="18"/>
  <c r="C189" i="18" s="1"/>
  <c r="C211" i="18" s="1"/>
  <c r="AC226" i="18" s="1"/>
  <c r="AC200" i="18"/>
  <c r="C191" i="18" s="1"/>
  <c r="C213" i="18" s="1"/>
  <c r="AC228" i="18" s="1"/>
  <c r="AC201" i="18"/>
  <c r="V155" i="18" l="1"/>
  <c r="O55" i="7" s="1"/>
  <c r="V156" i="18"/>
  <c r="O56" i="7" s="1"/>
  <c r="V157" i="18"/>
  <c r="AA88" i="18" a="1"/>
  <c r="Z88" i="18" a="1"/>
  <c r="AB88" i="18" a="1"/>
  <c r="L120" i="18" a="1"/>
  <c r="L120" i="18" s="1"/>
  <c r="F123" i="18" s="1"/>
  <c r="W154" i="18"/>
  <c r="P54" i="7" s="1"/>
  <c r="W157" i="18"/>
  <c r="W155" i="18"/>
  <c r="P55" i="7" s="1"/>
  <c r="W156" i="18"/>
  <c r="P56" i="7" s="1"/>
  <c r="R189" i="18"/>
  <c r="R182" i="18"/>
  <c r="Y154" i="18" a="1"/>
  <c r="Q189" i="18"/>
  <c r="Q182" i="18"/>
  <c r="P188" i="18"/>
  <c r="P181" i="18"/>
  <c r="W147" i="18"/>
  <c r="K54" i="7" s="1"/>
  <c r="V150" i="18"/>
  <c r="U148" i="18"/>
  <c r="I55" i="7" s="1"/>
  <c r="W148" i="18"/>
  <c r="K55" i="7" s="1"/>
  <c r="T149" i="18"/>
  <c r="H56" i="7" s="1"/>
  <c r="U149" i="18"/>
  <c r="I56" i="7" s="1"/>
  <c r="W150" i="18"/>
  <c r="V149" i="18"/>
  <c r="J56" i="7" s="1"/>
  <c r="T148" i="18"/>
  <c r="H55" i="7" s="1"/>
  <c r="V148" i="18"/>
  <c r="J55" i="7" s="1"/>
  <c r="U150" i="18"/>
  <c r="T147" i="18"/>
  <c r="H54" i="7" s="1"/>
  <c r="V147" i="18"/>
  <c r="J54" i="7" s="1"/>
  <c r="T150" i="18"/>
  <c r="U147" i="18"/>
  <c r="I54" i="7" s="1"/>
  <c r="W149" i="18"/>
  <c r="K56" i="7" s="1"/>
  <c r="E207" i="18"/>
  <c r="M197" i="18"/>
  <c r="R188" i="18"/>
  <c r="R181" i="18"/>
  <c r="R187" i="18"/>
  <c r="R180" i="18"/>
  <c r="U157" i="18"/>
  <c r="U154" i="18"/>
  <c r="N54" i="7" s="1"/>
  <c r="E54" i="7" s="1"/>
  <c r="U155" i="18"/>
  <c r="N55" i="7" s="1"/>
  <c r="U156" i="18"/>
  <c r="N56" i="7" s="1"/>
  <c r="P189" i="18"/>
  <c r="P182" i="18"/>
  <c r="Q180" i="18"/>
  <c r="Q187" i="18"/>
  <c r="E206" i="18"/>
  <c r="M196" i="18"/>
  <c r="P187" i="18"/>
  <c r="P180" i="18"/>
  <c r="Q188" i="18"/>
  <c r="Q181" i="18"/>
  <c r="AZ226" i="18" a="1"/>
  <c r="AU226" i="18" a="1"/>
  <c r="BE226" i="18" a="1"/>
  <c r="AC231" i="18" a="1"/>
  <c r="E208" i="18"/>
  <c r="M198" i="18"/>
  <c r="D56" i="7" l="1"/>
  <c r="C56" i="7"/>
  <c r="D55" i="7"/>
  <c r="C55" i="7"/>
  <c r="C54" i="7"/>
  <c r="D54" i="7"/>
  <c r="L121" i="18"/>
  <c r="F124" i="18" s="1"/>
  <c r="L123" i="18"/>
  <c r="L122" i="18"/>
  <c r="F125" i="18" s="1"/>
  <c r="AB114" i="18" s="1"/>
  <c r="Z88" i="18"/>
  <c r="S40" i="7" s="1"/>
  <c r="Z91" i="18"/>
  <c r="Z89" i="18"/>
  <c r="S41" i="7" s="1"/>
  <c r="Z90" i="18"/>
  <c r="S42" i="7" s="1"/>
  <c r="AB91" i="18"/>
  <c r="AB90" i="18"/>
  <c r="U42" i="7" s="1"/>
  <c r="AB88" i="18"/>
  <c r="U40" i="7" s="1"/>
  <c r="AB89" i="18"/>
  <c r="U41" i="7" s="1"/>
  <c r="AA90" i="18"/>
  <c r="T42" i="7" s="1"/>
  <c r="AA88" i="18"/>
  <c r="T40" i="7" s="1"/>
  <c r="AA89" i="18"/>
  <c r="T41" i="7" s="1"/>
  <c r="AA91" i="18"/>
  <c r="E56" i="7"/>
  <c r="V187" i="18" a="1"/>
  <c r="V188" i="18" s="1"/>
  <c r="O62" i="7" s="1"/>
  <c r="E55" i="7"/>
  <c r="AA114" i="18"/>
  <c r="AA115" i="18"/>
  <c r="AA116" i="18"/>
  <c r="AB116" i="18"/>
  <c r="AB115" i="18"/>
  <c r="BE227" i="18"/>
  <c r="BF227" i="18" s="1"/>
  <c r="BG227" i="18" s="1"/>
  <c r="Q228" i="18" s="1"/>
  <c r="BE226" i="18"/>
  <c r="BF226" i="18" s="1"/>
  <c r="BG226" i="18" s="1"/>
  <c r="Q227" i="18" s="1"/>
  <c r="BE228" i="18"/>
  <c r="BF228" i="18" s="1"/>
  <c r="BG228" i="18" s="1"/>
  <c r="Q229" i="18" s="1"/>
  <c r="BE229" i="18"/>
  <c r="W187" i="18" a="1"/>
  <c r="Y156" i="18"/>
  <c r="R56" i="7" s="1"/>
  <c r="Y154" i="18"/>
  <c r="R54" i="7" s="1"/>
  <c r="Y157" i="18"/>
  <c r="Y155" i="18"/>
  <c r="R55" i="7" s="1"/>
  <c r="AZ229" i="18"/>
  <c r="AZ228" i="18"/>
  <c r="BA228" i="18" s="1"/>
  <c r="BB228" i="18" s="1"/>
  <c r="P229" i="18" s="1"/>
  <c r="AZ226" i="18"/>
  <c r="BA226" i="18" s="1"/>
  <c r="BB226" i="18" s="1"/>
  <c r="P227" i="18" s="1"/>
  <c r="AZ227" i="18"/>
  <c r="BA227" i="18" s="1"/>
  <c r="BB227" i="18" s="1"/>
  <c r="P228" i="18" s="1"/>
  <c r="T180" i="18" a="1"/>
  <c r="Z115" i="18"/>
  <c r="Z114" i="18"/>
  <c r="Z116" i="18"/>
  <c r="AC233" i="18"/>
  <c r="C224" i="18" s="1"/>
  <c r="C246" i="18" s="1"/>
  <c r="AC261" i="18" s="1"/>
  <c r="AC234" i="18"/>
  <c r="AC232" i="18"/>
  <c r="C223" i="18" s="1"/>
  <c r="C245" i="18" s="1"/>
  <c r="AC260" i="18" s="1"/>
  <c r="AC231" i="18"/>
  <c r="C222" i="18" s="1"/>
  <c r="C244" i="18" s="1"/>
  <c r="AC259" i="18" s="1"/>
  <c r="U187" i="18" a="1"/>
  <c r="C230" i="18" a="1"/>
  <c r="AU226" i="18"/>
  <c r="AV226" i="18" s="1"/>
  <c r="AW226" i="18" s="1"/>
  <c r="O227" i="18" s="1"/>
  <c r="AU228" i="18"/>
  <c r="AV228" i="18" s="1"/>
  <c r="AW228" i="18" s="1"/>
  <c r="O229" i="18" s="1"/>
  <c r="AU227" i="18"/>
  <c r="AV227" i="18" s="1"/>
  <c r="AW227" i="18" s="1"/>
  <c r="O228" i="18" s="1"/>
  <c r="AU229" i="18"/>
  <c r="F193" i="18" a="1"/>
  <c r="F41" i="7" l="1"/>
  <c r="F42" i="7"/>
  <c r="F40" i="7"/>
  <c r="V190" i="18"/>
  <c r="V189" i="18"/>
  <c r="O63" i="7" s="1"/>
  <c r="V187" i="18"/>
  <c r="O61" i="7" s="1"/>
  <c r="Z121" i="18" a="1"/>
  <c r="Z122" i="18" s="1"/>
  <c r="S48" i="7" s="1"/>
  <c r="V183" i="18"/>
  <c r="V180" i="18"/>
  <c r="J61" i="7" s="1"/>
  <c r="V181" i="18"/>
  <c r="J62" i="7" s="1"/>
  <c r="V182" i="18"/>
  <c r="J63" i="7" s="1"/>
  <c r="T181" i="18"/>
  <c r="H62" i="7" s="1"/>
  <c r="T183" i="18"/>
  <c r="U181" i="18"/>
  <c r="I62" i="7" s="1"/>
  <c r="U183" i="18"/>
  <c r="W181" i="18"/>
  <c r="K62" i="7" s="1"/>
  <c r="T182" i="18"/>
  <c r="H63" i="7" s="1"/>
  <c r="U180" i="18"/>
  <c r="I61" i="7" s="1"/>
  <c r="U182" i="18"/>
  <c r="I63" i="7" s="1"/>
  <c r="W180" i="18"/>
  <c r="K61" i="7" s="1"/>
  <c r="W183" i="18"/>
  <c r="W182" i="18"/>
  <c r="K63" i="7" s="1"/>
  <c r="T180" i="18"/>
  <c r="H61" i="7" s="1"/>
  <c r="P220" i="18"/>
  <c r="P213" i="18"/>
  <c r="Q221" i="18"/>
  <c r="Q214" i="18"/>
  <c r="Q215" i="18"/>
  <c r="Q222" i="18"/>
  <c r="R220" i="18"/>
  <c r="R213" i="18"/>
  <c r="C230" i="18"/>
  <c r="C232" i="18"/>
  <c r="C231" i="18"/>
  <c r="C233" i="18"/>
  <c r="AB121" i="18" a="1"/>
  <c r="AA121" i="18" a="1"/>
  <c r="AC264" i="18" a="1"/>
  <c r="AU259" i="18" a="1"/>
  <c r="BE259" i="18" a="1"/>
  <c r="AZ259" i="18" a="1"/>
  <c r="R222" i="18"/>
  <c r="R215" i="18"/>
  <c r="R221" i="18"/>
  <c r="R214" i="18"/>
  <c r="P214" i="18"/>
  <c r="P221" i="18"/>
  <c r="Q213" i="18"/>
  <c r="Q220" i="18"/>
  <c r="W187" i="18"/>
  <c r="P61" i="7" s="1"/>
  <c r="W190" i="18"/>
  <c r="W188" i="18"/>
  <c r="P62" i="7" s="1"/>
  <c r="W189" i="18"/>
  <c r="P63" i="7" s="1"/>
  <c r="F193" i="18"/>
  <c r="Y180" i="18" s="1"/>
  <c r="F197" i="18"/>
  <c r="J154" i="18" s="1"/>
  <c r="F196" i="18"/>
  <c r="J153" i="18" s="1"/>
  <c r="F194" i="18"/>
  <c r="Y181" i="18" s="1"/>
  <c r="F198" i="18"/>
  <c r="J155" i="18" s="1"/>
  <c r="F195" i="18"/>
  <c r="Y182" i="18" s="1"/>
  <c r="P222" i="18"/>
  <c r="P215" i="18"/>
  <c r="U190" i="18"/>
  <c r="U188" i="18"/>
  <c r="N62" i="7" s="1"/>
  <c r="U189" i="18"/>
  <c r="N63" i="7" s="1"/>
  <c r="U187" i="18"/>
  <c r="N61" i="7" s="1"/>
  <c r="C62" i="7" l="1"/>
  <c r="D62" i="7"/>
  <c r="D63" i="7"/>
  <c r="C63" i="7"/>
  <c r="D61" i="7"/>
  <c r="C61" i="7"/>
  <c r="W220" i="18" a="1"/>
  <c r="Z123" i="18"/>
  <c r="S49" i="7" s="1"/>
  <c r="Z124" i="18"/>
  <c r="Z121" i="18"/>
  <c r="S47" i="7" s="1"/>
  <c r="U220" i="18" a="1"/>
  <c r="U221" i="18" s="1"/>
  <c r="N69" i="7" s="1"/>
  <c r="L153" i="18" a="1"/>
  <c r="L153" i="18" s="1"/>
  <c r="F156" i="18" s="1"/>
  <c r="W221" i="18"/>
  <c r="P69" i="7" s="1"/>
  <c r="W220" i="18"/>
  <c r="P68" i="7" s="1"/>
  <c r="W222" i="18"/>
  <c r="P70" i="7" s="1"/>
  <c r="W223" i="18"/>
  <c r="AA121" i="18"/>
  <c r="T47" i="7" s="1"/>
  <c r="AA122" i="18"/>
  <c r="T48" i="7" s="1"/>
  <c r="AA124" i="18"/>
  <c r="AA123" i="18"/>
  <c r="T49" i="7" s="1"/>
  <c r="BE262" i="18"/>
  <c r="BE259" i="18"/>
  <c r="BF259" i="18" s="1"/>
  <c r="BG259" i="18" s="1"/>
  <c r="Q260" i="18" s="1"/>
  <c r="BE261" i="18"/>
  <c r="BF261" i="18" s="1"/>
  <c r="BG261" i="18" s="1"/>
  <c r="Q262" i="18" s="1"/>
  <c r="BE260" i="18"/>
  <c r="BF260" i="18" s="1"/>
  <c r="BG260" i="18" s="1"/>
  <c r="Q261" i="18" s="1"/>
  <c r="Y187" i="18" a="1"/>
  <c r="AZ262" i="18"/>
  <c r="AZ259" i="18"/>
  <c r="BA259" i="18" s="1"/>
  <c r="BB259" i="18" s="1"/>
  <c r="P260" i="18" s="1"/>
  <c r="AZ260" i="18"/>
  <c r="BA260" i="18" s="1"/>
  <c r="BB260" i="18" s="1"/>
  <c r="P261" i="18" s="1"/>
  <c r="AZ261" i="18"/>
  <c r="BA261" i="18" s="1"/>
  <c r="BB261" i="18" s="1"/>
  <c r="P262" i="18" s="1"/>
  <c r="AC264" i="18"/>
  <c r="C255" i="18" s="1"/>
  <c r="C277" i="18" s="1"/>
  <c r="AC292" i="18" s="1"/>
  <c r="AC265" i="18"/>
  <c r="C256" i="18" s="1"/>
  <c r="C278" i="18" s="1"/>
  <c r="AC293" i="18" s="1"/>
  <c r="AC266" i="18"/>
  <c r="C257" i="18" s="1"/>
  <c r="C279" i="18" s="1"/>
  <c r="AC294" i="18" s="1"/>
  <c r="AC267" i="18"/>
  <c r="AB121" i="18"/>
  <c r="U47" i="7" s="1"/>
  <c r="AB123" i="18"/>
  <c r="U49" i="7" s="1"/>
  <c r="AB122" i="18"/>
  <c r="U48" i="7" s="1"/>
  <c r="AB124" i="18"/>
  <c r="V220" i="18" a="1"/>
  <c r="E239" i="18"/>
  <c r="M229" i="18"/>
  <c r="AU262" i="18"/>
  <c r="AU259" i="18"/>
  <c r="AV259" i="18" s="1"/>
  <c r="AW259" i="18" s="1"/>
  <c r="O260" i="18" s="1"/>
  <c r="AU260" i="18"/>
  <c r="AV260" i="18" s="1"/>
  <c r="AW260" i="18" s="1"/>
  <c r="O261" i="18" s="1"/>
  <c r="AU261" i="18"/>
  <c r="AV261" i="18" s="1"/>
  <c r="AW261" i="18" s="1"/>
  <c r="O262" i="18" s="1"/>
  <c r="T213" i="18" a="1"/>
  <c r="E62" i="7"/>
  <c r="E61" i="7"/>
  <c r="E63" i="7"/>
  <c r="M230" i="18"/>
  <c r="E240" i="18"/>
  <c r="M231" i="18"/>
  <c r="E241" i="18"/>
  <c r="F47" i="7" l="1"/>
  <c r="U223" i="18"/>
  <c r="U222" i="18"/>
  <c r="N70" i="7" s="1"/>
  <c r="U220" i="18"/>
  <c r="N68" i="7" s="1"/>
  <c r="F49" i="7"/>
  <c r="F48" i="7"/>
  <c r="L155" i="18"/>
  <c r="F158" i="18" s="1"/>
  <c r="F226" i="18" a="1"/>
  <c r="F230" i="18" s="1"/>
  <c r="J187" i="18" s="1"/>
  <c r="L156" i="18"/>
  <c r="L154" i="18"/>
  <c r="F157" i="18" s="1"/>
  <c r="AA147" i="18" s="1"/>
  <c r="R254" i="18"/>
  <c r="R247" i="18"/>
  <c r="V216" i="18"/>
  <c r="U215" i="18"/>
  <c r="I70" i="7" s="1"/>
  <c r="U216" i="18"/>
  <c r="W216" i="18"/>
  <c r="W213" i="18"/>
  <c r="K68" i="7" s="1"/>
  <c r="V214" i="18"/>
  <c r="J69" i="7" s="1"/>
  <c r="W214" i="18"/>
  <c r="K69" i="7" s="1"/>
  <c r="T214" i="18"/>
  <c r="H69" i="7" s="1"/>
  <c r="T213" i="18"/>
  <c r="H68" i="7" s="1"/>
  <c r="V213" i="18"/>
  <c r="J68" i="7" s="1"/>
  <c r="T215" i="18"/>
  <c r="H70" i="7" s="1"/>
  <c r="U213" i="18"/>
  <c r="I68" i="7" s="1"/>
  <c r="V215" i="18"/>
  <c r="J70" i="7" s="1"/>
  <c r="W215" i="18"/>
  <c r="K70" i="7" s="1"/>
  <c r="U214" i="18"/>
  <c r="I69" i="7" s="1"/>
  <c r="T216" i="18"/>
  <c r="Y189" i="18"/>
  <c r="R63" i="7" s="1"/>
  <c r="Y188" i="18"/>
  <c r="R62" i="7" s="1"/>
  <c r="Y190" i="18"/>
  <c r="Y187" i="18"/>
  <c r="R61" i="7" s="1"/>
  <c r="R255" i="18"/>
  <c r="R248" i="18"/>
  <c r="AU292" i="18" a="1"/>
  <c r="BE292" i="18" a="1"/>
  <c r="AZ292" i="18" a="1"/>
  <c r="AC297" i="18" a="1"/>
  <c r="P253" i="18"/>
  <c r="P246" i="18"/>
  <c r="V221" i="18"/>
  <c r="O69" i="7" s="1"/>
  <c r="V220" i="18"/>
  <c r="O68" i="7" s="1"/>
  <c r="E68" i="7" s="1"/>
  <c r="V222" i="18"/>
  <c r="O70" i="7" s="1"/>
  <c r="E70" i="7" s="1"/>
  <c r="V223" i="18"/>
  <c r="E69" i="7"/>
  <c r="Z149" i="18"/>
  <c r="Z147" i="18"/>
  <c r="Z148" i="18"/>
  <c r="P255" i="18"/>
  <c r="P248" i="18"/>
  <c r="R253" i="18"/>
  <c r="R246" i="18"/>
  <c r="P254" i="18"/>
  <c r="P247" i="18"/>
  <c r="C263" i="18" a="1"/>
  <c r="Q255" i="18"/>
  <c r="Q248" i="18"/>
  <c r="AB147" i="18"/>
  <c r="AB148" i="18"/>
  <c r="AB149" i="18"/>
  <c r="Q254" i="18"/>
  <c r="Q247" i="18"/>
  <c r="Q253" i="18"/>
  <c r="Q246" i="18"/>
  <c r="D70" i="7" l="1"/>
  <c r="C70" i="7"/>
  <c r="D69" i="7"/>
  <c r="C69" i="7"/>
  <c r="D68" i="7"/>
  <c r="C68" i="7"/>
  <c r="F226" i="18"/>
  <c r="Y213" i="18" s="1"/>
  <c r="F229" i="18"/>
  <c r="J186" i="18" s="1"/>
  <c r="F228" i="18"/>
  <c r="Y215" i="18" s="1"/>
  <c r="W253" i="18" a="1"/>
  <c r="W254" i="18" s="1"/>
  <c r="P76" i="7" s="1"/>
  <c r="F227" i="18"/>
  <c r="Y214" i="18" s="1"/>
  <c r="Y220" i="18" s="1" a="1"/>
  <c r="F231" i="18"/>
  <c r="J188" i="18" s="1"/>
  <c r="L186" i="18" s="1" a="1"/>
  <c r="AA148" i="18"/>
  <c r="AA149" i="18"/>
  <c r="U253" i="18" a="1"/>
  <c r="U253" i="18" s="1"/>
  <c r="N75" i="7" s="1"/>
  <c r="V253" i="18" a="1"/>
  <c r="AC300" i="18"/>
  <c r="AC297" i="18"/>
  <c r="C288" i="18" s="1"/>
  <c r="C310" i="18" s="1"/>
  <c r="AC325" i="18" s="1"/>
  <c r="AC298" i="18"/>
  <c r="C289" i="18" s="1"/>
  <c r="C311" i="18" s="1"/>
  <c r="AC326" i="18" s="1"/>
  <c r="AC299" i="18"/>
  <c r="C290" i="18" s="1"/>
  <c r="C312" i="18" s="1"/>
  <c r="AC327" i="18" s="1"/>
  <c r="AU292" i="18"/>
  <c r="AV292" i="18" s="1"/>
  <c r="AW292" i="18" s="1"/>
  <c r="O293" i="18" s="1"/>
  <c r="AU294" i="18"/>
  <c r="AV294" i="18" s="1"/>
  <c r="AW294" i="18" s="1"/>
  <c r="O295" i="18" s="1"/>
  <c r="AU295" i="18"/>
  <c r="AU293" i="18"/>
  <c r="AV293" i="18" s="1"/>
  <c r="AW293" i="18" s="1"/>
  <c r="O294" i="18" s="1"/>
  <c r="C263" i="18"/>
  <c r="C264" i="18"/>
  <c r="C265" i="18"/>
  <c r="C266" i="18"/>
  <c r="AB154" i="18" a="1"/>
  <c r="BE292" i="18"/>
  <c r="BF292" i="18" s="1"/>
  <c r="BG292" i="18" s="1"/>
  <c r="Q293" i="18" s="1"/>
  <c r="BE294" i="18"/>
  <c r="BF294" i="18" s="1"/>
  <c r="BG294" i="18" s="1"/>
  <c r="Q295" i="18" s="1"/>
  <c r="BE293" i="18"/>
  <c r="BF293" i="18" s="1"/>
  <c r="BG293" i="18" s="1"/>
  <c r="Q294" i="18" s="1"/>
  <c r="BE295" i="18"/>
  <c r="AZ294" i="18"/>
  <c r="BA294" i="18" s="1"/>
  <c r="BB294" i="18" s="1"/>
  <c r="P295" i="18" s="1"/>
  <c r="AZ295" i="18"/>
  <c r="AZ292" i="18"/>
  <c r="BA292" i="18" s="1"/>
  <c r="BB292" i="18" s="1"/>
  <c r="P293" i="18" s="1"/>
  <c r="AZ293" i="18"/>
  <c r="BA293" i="18" s="1"/>
  <c r="BB293" i="18" s="1"/>
  <c r="P294" i="18" s="1"/>
  <c r="Z154" i="18" a="1"/>
  <c r="T246" i="18" a="1"/>
  <c r="W256" i="18" l="1"/>
  <c r="W255" i="18"/>
  <c r="P77" i="7" s="1"/>
  <c r="W253" i="18"/>
  <c r="P75" i="7" s="1"/>
  <c r="AA154" i="18" a="1"/>
  <c r="AA154" i="18" s="1"/>
  <c r="T54" i="7" s="1"/>
  <c r="L187" i="18"/>
  <c r="F190" i="18" s="1"/>
  <c r="AA180" i="18" s="1"/>
  <c r="L189" i="18"/>
  <c r="L186" i="18"/>
  <c r="F189" i="18" s="1"/>
  <c r="Z182" i="18" s="1"/>
  <c r="L188" i="18"/>
  <c r="F191" i="18" s="1"/>
  <c r="AB180" i="18" s="1"/>
  <c r="U255" i="18"/>
  <c r="N77" i="7" s="1"/>
  <c r="U256" i="18"/>
  <c r="U254" i="18"/>
  <c r="N76" i="7" s="1"/>
  <c r="E76" i="7" s="1"/>
  <c r="Y220" i="18"/>
  <c r="R68" i="7" s="1"/>
  <c r="Y221" i="18"/>
  <c r="R69" i="7" s="1"/>
  <c r="Y223" i="18"/>
  <c r="Y222" i="18"/>
  <c r="R70" i="7" s="1"/>
  <c r="E272" i="18"/>
  <c r="M262" i="18"/>
  <c r="P288" i="18"/>
  <c r="P281" i="18"/>
  <c r="AB157" i="18"/>
  <c r="AB154" i="18"/>
  <c r="U54" i="7" s="1"/>
  <c r="AB155" i="18"/>
  <c r="U55" i="7" s="1"/>
  <c r="AB156" i="18"/>
  <c r="U56" i="7" s="1"/>
  <c r="E273" i="18"/>
  <c r="M263" i="18"/>
  <c r="P280" i="18"/>
  <c r="P287" i="18"/>
  <c r="P279" i="18"/>
  <c r="P286" i="18"/>
  <c r="Q287" i="18"/>
  <c r="Q280" i="18"/>
  <c r="R286" i="18"/>
  <c r="R279" i="18"/>
  <c r="Z156" i="18"/>
  <c r="S56" i="7" s="1"/>
  <c r="Z154" i="18"/>
  <c r="S54" i="7" s="1"/>
  <c r="Z155" i="18"/>
  <c r="S55" i="7" s="1"/>
  <c r="Z157" i="18"/>
  <c r="AZ325" i="18" a="1"/>
  <c r="AU325" i="18" a="1"/>
  <c r="BE325" i="18" a="1"/>
  <c r="AC330" i="18" a="1"/>
  <c r="V256" i="18"/>
  <c r="V254" i="18"/>
  <c r="O76" i="7" s="1"/>
  <c r="V253" i="18"/>
  <c r="O75" i="7" s="1"/>
  <c r="E75" i="7" s="1"/>
  <c r="V255" i="18"/>
  <c r="O77" i="7" s="1"/>
  <c r="E274" i="18"/>
  <c r="M264" i="18"/>
  <c r="R280" i="18"/>
  <c r="R287" i="18"/>
  <c r="Q286" i="18"/>
  <c r="Q279" i="18"/>
  <c r="U248" i="18"/>
  <c r="I77" i="7" s="1"/>
  <c r="V247" i="18"/>
  <c r="J76" i="7" s="1"/>
  <c r="T249" i="18"/>
  <c r="T248" i="18"/>
  <c r="H77" i="7" s="1"/>
  <c r="U249" i="18"/>
  <c r="V248" i="18"/>
  <c r="J77" i="7" s="1"/>
  <c r="T246" i="18"/>
  <c r="H75" i="7" s="1"/>
  <c r="U246" i="18"/>
  <c r="I75" i="7" s="1"/>
  <c r="V249" i="18"/>
  <c r="W246" i="18"/>
  <c r="K75" i="7" s="1"/>
  <c r="W248" i="18"/>
  <c r="K77" i="7" s="1"/>
  <c r="T247" i="18"/>
  <c r="H76" i="7" s="1"/>
  <c r="W247" i="18"/>
  <c r="K76" i="7" s="1"/>
  <c r="W249" i="18"/>
  <c r="U247" i="18"/>
  <c r="I76" i="7" s="1"/>
  <c r="V246" i="18"/>
  <c r="J75" i="7" s="1"/>
  <c r="R281" i="18"/>
  <c r="R288" i="18"/>
  <c r="Q288" i="18"/>
  <c r="Q281" i="18"/>
  <c r="AB181" i="18" l="1"/>
  <c r="AB182" i="18"/>
  <c r="Z180" i="18"/>
  <c r="Z181" i="18"/>
  <c r="D76" i="7"/>
  <c r="C76" i="7"/>
  <c r="AA182" i="18"/>
  <c r="AA181" i="18"/>
  <c r="AA187" i="18" s="1" a="1"/>
  <c r="AA156" i="18"/>
  <c r="T56" i="7" s="1"/>
  <c r="F56" i="7" s="1"/>
  <c r="E77" i="7"/>
  <c r="AA157" i="18"/>
  <c r="C75" i="7"/>
  <c r="D75" i="7"/>
  <c r="AA155" i="18"/>
  <c r="T55" i="7" s="1"/>
  <c r="F55" i="7" s="1"/>
  <c r="D77" i="7"/>
  <c r="C77" i="7"/>
  <c r="F54" i="7"/>
  <c r="V286" i="18" a="1"/>
  <c r="V286" i="18" s="1"/>
  <c r="O82" i="7" s="1"/>
  <c r="AB187" i="18" a="1"/>
  <c r="AB190" i="18" s="1"/>
  <c r="F259" i="18" a="1"/>
  <c r="C296" i="18" a="1"/>
  <c r="W286" i="18" a="1"/>
  <c r="AC333" i="18"/>
  <c r="AC330" i="18"/>
  <c r="C321" i="18" s="1"/>
  <c r="AC332" i="18"/>
  <c r="C323" i="18" s="1"/>
  <c r="AC331" i="18"/>
  <c r="C322" i="18" s="1"/>
  <c r="BE328" i="18"/>
  <c r="BE325" i="18"/>
  <c r="BF325" i="18" s="1"/>
  <c r="BG325" i="18" s="1"/>
  <c r="Q326" i="18" s="1"/>
  <c r="BE327" i="18"/>
  <c r="BF327" i="18" s="1"/>
  <c r="BG327" i="18" s="1"/>
  <c r="Q328" i="18" s="1"/>
  <c r="BE326" i="18"/>
  <c r="BF326" i="18" s="1"/>
  <c r="BG326" i="18" s="1"/>
  <c r="Q327" i="18" s="1"/>
  <c r="U286" i="18" a="1"/>
  <c r="AU326" i="18"/>
  <c r="AV326" i="18" s="1"/>
  <c r="AW326" i="18" s="1"/>
  <c r="O327" i="18" s="1"/>
  <c r="AU328" i="18"/>
  <c r="AU325" i="18"/>
  <c r="AV325" i="18" s="1"/>
  <c r="AW325" i="18" s="1"/>
  <c r="O326" i="18" s="1"/>
  <c r="AU327" i="18"/>
  <c r="AV327" i="18" s="1"/>
  <c r="AW327" i="18" s="1"/>
  <c r="O328" i="18" s="1"/>
  <c r="T279" i="18" a="1"/>
  <c r="Z187" i="18" a="1"/>
  <c r="AZ328" i="18"/>
  <c r="AZ325" i="18"/>
  <c r="BA325" i="18" s="1"/>
  <c r="BB325" i="18" s="1"/>
  <c r="P326" i="18" s="1"/>
  <c r="AZ327" i="18"/>
  <c r="BA327" i="18" s="1"/>
  <c r="BB327" i="18" s="1"/>
  <c r="P328" i="18" s="1"/>
  <c r="AZ326" i="18"/>
  <c r="BA326" i="18" s="1"/>
  <c r="BB326" i="18" s="1"/>
  <c r="P327" i="18" s="1"/>
  <c r="AB188" i="18" l="1"/>
  <c r="U62" i="7" s="1"/>
  <c r="V289" i="18"/>
  <c r="AB189" i="18"/>
  <c r="U63" i="7" s="1"/>
  <c r="V287" i="18"/>
  <c r="O83" i="7" s="1"/>
  <c r="V288" i="18"/>
  <c r="O84" i="7" s="1"/>
  <c r="AB187" i="18"/>
  <c r="U61" i="7" s="1"/>
  <c r="U288" i="18"/>
  <c r="N84" i="7" s="1"/>
  <c r="U289" i="18"/>
  <c r="U287" i="18"/>
  <c r="N83" i="7" s="1"/>
  <c r="U286" i="18"/>
  <c r="N82" i="7" s="1"/>
  <c r="R321" i="18"/>
  <c r="R314" i="18"/>
  <c r="Q320" i="18"/>
  <c r="Q313" i="18"/>
  <c r="R319" i="18"/>
  <c r="R312" i="18"/>
  <c r="Z188" i="18"/>
  <c r="S62" i="7" s="1"/>
  <c r="Z189" i="18"/>
  <c r="S63" i="7" s="1"/>
  <c r="Z190" i="18"/>
  <c r="Z187" i="18"/>
  <c r="S61" i="7" s="1"/>
  <c r="AA188" i="18"/>
  <c r="T62" i="7" s="1"/>
  <c r="AA190" i="18"/>
  <c r="AA187" i="18"/>
  <c r="T61" i="7" s="1"/>
  <c r="AA189" i="18"/>
  <c r="T63" i="7" s="1"/>
  <c r="Q314" i="18"/>
  <c r="Q321" i="18"/>
  <c r="F262" i="18"/>
  <c r="J219" i="18" s="1"/>
  <c r="F263" i="18"/>
  <c r="J220" i="18" s="1"/>
  <c r="F264" i="18"/>
  <c r="J221" i="18" s="1"/>
  <c r="F259" i="18"/>
  <c r="Y246" i="18" s="1"/>
  <c r="F261" i="18"/>
  <c r="Y248" i="18" s="1"/>
  <c r="F260" i="18"/>
  <c r="Y247" i="18" s="1"/>
  <c r="R320" i="18"/>
  <c r="R313" i="18"/>
  <c r="C299" i="18"/>
  <c r="C298" i="18"/>
  <c r="C296" i="18"/>
  <c r="C297" i="18"/>
  <c r="P321" i="18"/>
  <c r="P314" i="18"/>
  <c r="P312" i="18"/>
  <c r="P319" i="18"/>
  <c r="T280" i="18"/>
  <c r="H83" i="7" s="1"/>
  <c r="U279" i="18"/>
  <c r="I82" i="7" s="1"/>
  <c r="V280" i="18"/>
  <c r="J83" i="7" s="1"/>
  <c r="W280" i="18"/>
  <c r="K83" i="7" s="1"/>
  <c r="U282" i="18"/>
  <c r="U280" i="18"/>
  <c r="I83" i="7" s="1"/>
  <c r="V282" i="18"/>
  <c r="T282" i="18"/>
  <c r="V279" i="18"/>
  <c r="J82" i="7" s="1"/>
  <c r="W279" i="18"/>
  <c r="K82" i="7" s="1"/>
  <c r="V281" i="18"/>
  <c r="J84" i="7" s="1"/>
  <c r="W282" i="18"/>
  <c r="T279" i="18"/>
  <c r="H82" i="7" s="1"/>
  <c r="T281" i="18"/>
  <c r="H84" i="7" s="1"/>
  <c r="U281" i="18"/>
  <c r="I84" i="7" s="1"/>
  <c r="W281" i="18"/>
  <c r="K84" i="7" s="1"/>
  <c r="P313" i="18"/>
  <c r="P320" i="18"/>
  <c r="Q319" i="18"/>
  <c r="Q312" i="18"/>
  <c r="W288" i="18"/>
  <c r="P84" i="7" s="1"/>
  <c r="W286" i="18"/>
  <c r="P82" i="7" s="1"/>
  <c r="W287" i="18"/>
  <c r="P83" i="7" s="1"/>
  <c r="W289" i="18"/>
  <c r="D83" i="7" l="1"/>
  <c r="C83" i="7"/>
  <c r="D84" i="7"/>
  <c r="C84" i="7"/>
  <c r="C82" i="7"/>
  <c r="D82" i="7"/>
  <c r="F63" i="7"/>
  <c r="F61" i="7"/>
  <c r="V319" i="18" a="1"/>
  <c r="V319" i="18" s="1"/>
  <c r="O89" i="7" s="1"/>
  <c r="L219" i="18" a="1"/>
  <c r="L219" i="18" s="1"/>
  <c r="F222" i="18" s="1"/>
  <c r="F62" i="7"/>
  <c r="Y253" i="18" a="1"/>
  <c r="E82" i="7"/>
  <c r="E307" i="18"/>
  <c r="M297" i="18"/>
  <c r="W319" i="18" a="1"/>
  <c r="T312" i="18" a="1"/>
  <c r="E83" i="7"/>
  <c r="M296" i="18"/>
  <c r="E306" i="18"/>
  <c r="U319" i="18" a="1"/>
  <c r="E305" i="18"/>
  <c r="M295" i="18"/>
  <c r="E84" i="7"/>
  <c r="V322" i="18" l="1"/>
  <c r="V321" i="18"/>
  <c r="O91" i="7" s="1"/>
  <c r="V320" i="18"/>
  <c r="O90" i="7" s="1"/>
  <c r="F292" i="18" a="1"/>
  <c r="F297" i="18" s="1"/>
  <c r="J254" i="18" s="1"/>
  <c r="L220" i="18"/>
  <c r="F223" i="18" s="1"/>
  <c r="L221" i="18"/>
  <c r="F224" i="18" s="1"/>
  <c r="AB215" i="18" s="1"/>
  <c r="L222" i="18"/>
  <c r="AA213" i="18"/>
  <c r="AA214" i="18"/>
  <c r="AA215" i="18"/>
  <c r="W320" i="18"/>
  <c r="P90" i="7" s="1"/>
  <c r="W322" i="18"/>
  <c r="W321" i="18"/>
  <c r="P91" i="7" s="1"/>
  <c r="W319" i="18"/>
  <c r="P89" i="7" s="1"/>
  <c r="U322" i="18"/>
  <c r="U319" i="18"/>
  <c r="N89" i="7" s="1"/>
  <c r="E89" i="7" s="1"/>
  <c r="F16" i="7" s="1"/>
  <c r="U320" i="18"/>
  <c r="N90" i="7" s="1"/>
  <c r="U321" i="18"/>
  <c r="N91" i="7" s="1"/>
  <c r="Y256" i="18"/>
  <c r="Y255" i="18"/>
  <c r="R77" i="7" s="1"/>
  <c r="Y254" i="18"/>
  <c r="R76" i="7" s="1"/>
  <c r="Y253" i="18"/>
  <c r="R75" i="7" s="1"/>
  <c r="W313" i="18"/>
  <c r="K90" i="7" s="1"/>
  <c r="W312" i="18"/>
  <c r="K89" i="7" s="1"/>
  <c r="W314" i="18"/>
  <c r="K91" i="7" s="1"/>
  <c r="T315" i="18"/>
  <c r="U314" i="18"/>
  <c r="I91" i="7" s="1"/>
  <c r="T312" i="18"/>
  <c r="H89" i="7" s="1"/>
  <c r="V313" i="18"/>
  <c r="J90" i="7" s="1"/>
  <c r="W315" i="18"/>
  <c r="U313" i="18"/>
  <c r="I90" i="7" s="1"/>
  <c r="T314" i="18"/>
  <c r="H91" i="7" s="1"/>
  <c r="U312" i="18"/>
  <c r="I89" i="7" s="1"/>
  <c r="T313" i="18"/>
  <c r="H90" i="7" s="1"/>
  <c r="V315" i="18"/>
  <c r="V314" i="18"/>
  <c r="J91" i="7" s="1"/>
  <c r="U315" i="18"/>
  <c r="V312" i="18"/>
  <c r="J89" i="7" s="1"/>
  <c r="Z214" i="18"/>
  <c r="Z213" i="18"/>
  <c r="Z215" i="18"/>
  <c r="C329" i="18" a="1"/>
  <c r="D89" i="7" l="1"/>
  <c r="D16" i="7" s="1"/>
  <c r="C89" i="7"/>
  <c r="AB213" i="18"/>
  <c r="AB214" i="18"/>
  <c r="AB220" i="18" s="1" a="1"/>
  <c r="AB223" i="18" s="1"/>
  <c r="D90" i="7"/>
  <c r="D17" i="7" s="1"/>
  <c r="C90" i="7"/>
  <c r="C91" i="7"/>
  <c r="D91" i="7"/>
  <c r="D18" i="7" s="1"/>
  <c r="F293" i="18"/>
  <c r="Y280" i="18" s="1"/>
  <c r="F292" i="18"/>
  <c r="Y279" i="18" s="1"/>
  <c r="Y286" i="18" s="1" a="1"/>
  <c r="Y286" i="18" s="1"/>
  <c r="R82" i="7" s="1"/>
  <c r="F295" i="18"/>
  <c r="J252" i="18" s="1"/>
  <c r="L252" i="18" s="1" a="1"/>
  <c r="L254" i="18" s="1"/>
  <c r="F257" i="18" s="1"/>
  <c r="F294" i="18"/>
  <c r="Y281" i="18" s="1"/>
  <c r="F296" i="18"/>
  <c r="J253" i="18" s="1"/>
  <c r="C17" i="7"/>
  <c r="E91" i="7"/>
  <c r="F18" i="7" s="1"/>
  <c r="E90" i="7"/>
  <c r="F17" i="7" s="1"/>
  <c r="F19" i="7" s="1"/>
  <c r="Z220" i="18" a="1"/>
  <c r="Z222" i="18" s="1"/>
  <c r="S70" i="7" s="1"/>
  <c r="AA220" i="18" a="1"/>
  <c r="C331" i="18"/>
  <c r="C329" i="18"/>
  <c r="C330" i="18"/>
  <c r="C332" i="18"/>
  <c r="E17" i="7" l="1"/>
  <c r="Z223" i="18"/>
  <c r="Z221" i="18"/>
  <c r="S69" i="7" s="1"/>
  <c r="Z220" i="18"/>
  <c r="S68" i="7" s="1"/>
  <c r="Y289" i="18"/>
  <c r="Y288" i="18"/>
  <c r="R84" i="7" s="1"/>
  <c r="Y287" i="18"/>
  <c r="R83" i="7" s="1"/>
  <c r="AB220" i="18"/>
  <c r="U68" i="7" s="1"/>
  <c r="AB221" i="18"/>
  <c r="U69" i="7" s="1"/>
  <c r="AB222" i="18"/>
  <c r="U70" i="7" s="1"/>
  <c r="L252" i="18"/>
  <c r="F255" i="18" s="1"/>
  <c r="Z246" i="18" s="1"/>
  <c r="L255" i="18"/>
  <c r="C18" i="7"/>
  <c r="E18" i="7" s="1"/>
  <c r="L253" i="18"/>
  <c r="F256" i="18" s="1"/>
  <c r="AA248" i="18" s="1"/>
  <c r="AB248" i="18"/>
  <c r="AB247" i="18"/>
  <c r="AB246" i="18"/>
  <c r="M329" i="18"/>
  <c r="E339" i="18"/>
  <c r="F322" i="18" s="1"/>
  <c r="M328" i="18"/>
  <c r="E338" i="18"/>
  <c r="F321" i="18" s="1"/>
  <c r="M330" i="18"/>
  <c r="E340" i="18"/>
  <c r="F323" i="18" s="1"/>
  <c r="D19" i="7"/>
  <c r="C16" i="7"/>
  <c r="AA223" i="18"/>
  <c r="AA222" i="18"/>
  <c r="T70" i="7" s="1"/>
  <c r="AA221" i="18"/>
  <c r="T69" i="7" s="1"/>
  <c r="F69" i="7" s="1"/>
  <c r="AA220" i="18"/>
  <c r="T68" i="7" s="1"/>
  <c r="F68" i="7" s="1"/>
  <c r="F70" i="7" l="1"/>
  <c r="AB253" i="18" a="1"/>
  <c r="AB256" i="18" s="1"/>
  <c r="AA247" i="18"/>
  <c r="AA246" i="18"/>
  <c r="AA253" i="18" s="1" a="1"/>
  <c r="Z247" i="18"/>
  <c r="Z248" i="18"/>
  <c r="F325" i="18" a="1"/>
  <c r="F326" i="18" s="1"/>
  <c r="Y313" i="18" s="1"/>
  <c r="E16" i="7"/>
  <c r="AB255" i="18"/>
  <c r="U77" i="7" s="1"/>
  <c r="AB254" i="18"/>
  <c r="U76" i="7" s="1"/>
  <c r="AB253" i="18"/>
  <c r="U75" i="7" s="1"/>
  <c r="AB313" i="18"/>
  <c r="AB314" i="18"/>
  <c r="AB312" i="18"/>
  <c r="AA314" i="18"/>
  <c r="AA313" i="18"/>
  <c r="AA312" i="18"/>
  <c r="Z314" i="18"/>
  <c r="Z313" i="18"/>
  <c r="Z312" i="18"/>
  <c r="Z253" i="18" l="1" a="1"/>
  <c r="Z255" i="18" s="1"/>
  <c r="S77" i="7" s="1"/>
  <c r="F325" i="18"/>
  <c r="Y312" i="18" s="1"/>
  <c r="F327" i="18"/>
  <c r="Y314" i="18" s="1"/>
  <c r="F330" i="18"/>
  <c r="J287" i="18" s="1"/>
  <c r="F328" i="18"/>
  <c r="J285" i="18" s="1"/>
  <c r="L285" i="18" s="1" a="1"/>
  <c r="L285" i="18" s="1"/>
  <c r="F288" i="18" s="1"/>
  <c r="F329" i="18"/>
  <c r="J286" i="18" s="1"/>
  <c r="AA319" i="18" a="1"/>
  <c r="AA322" i="18" s="1"/>
  <c r="Z254" i="18"/>
  <c r="S76" i="7" s="1"/>
  <c r="AB319" i="18" a="1"/>
  <c r="AB320" i="18" s="1"/>
  <c r="U90" i="7" s="1"/>
  <c r="Z253" i="18"/>
  <c r="S75" i="7" s="1"/>
  <c r="Z256" i="18"/>
  <c r="Z319" i="18" a="1"/>
  <c r="Z321" i="18" s="1"/>
  <c r="S91" i="7" s="1"/>
  <c r="AA253" i="18"/>
  <c r="T75" i="7" s="1"/>
  <c r="AA255" i="18"/>
  <c r="T77" i="7" s="1"/>
  <c r="F77" i="7" s="1"/>
  <c r="AA256" i="18"/>
  <c r="AA254" i="18"/>
  <c r="T76" i="7" s="1"/>
  <c r="L287" i="18" l="1"/>
  <c r="F290" i="18" s="1"/>
  <c r="L288" i="18"/>
  <c r="L286" i="18"/>
  <c r="F289" i="18" s="1"/>
  <c r="AA279" i="18" s="1"/>
  <c r="AA320" i="18"/>
  <c r="T90" i="7" s="1"/>
  <c r="F76" i="7"/>
  <c r="AB322" i="18"/>
  <c r="F75" i="7"/>
  <c r="AA319" i="18"/>
  <c r="T89" i="7" s="1"/>
  <c r="AA321" i="18"/>
  <c r="T91" i="7" s="1"/>
  <c r="Y319" i="18" a="1"/>
  <c r="AB321" i="18"/>
  <c r="U91" i="7" s="1"/>
  <c r="AB319" i="18"/>
  <c r="U89" i="7" s="1"/>
  <c r="Z319" i="18"/>
  <c r="S89" i="7" s="1"/>
  <c r="Z320" i="18"/>
  <c r="S90" i="7" s="1"/>
  <c r="Z322" i="18"/>
  <c r="AA281" i="18"/>
  <c r="AB281" i="18"/>
  <c r="AB279" i="18"/>
  <c r="AB280" i="18"/>
  <c r="Z281" i="18"/>
  <c r="Z279" i="18"/>
  <c r="Z280" i="18"/>
  <c r="AA280" i="18" l="1"/>
  <c r="Y320" i="18"/>
  <c r="R90" i="7" s="1"/>
  <c r="F90" i="7" s="1"/>
  <c r="Y322" i="18"/>
  <c r="Y319" i="18"/>
  <c r="R89" i="7" s="1"/>
  <c r="F89" i="7" s="1"/>
  <c r="Y321" i="18"/>
  <c r="R91" i="7" s="1"/>
  <c r="F91" i="7" s="1"/>
  <c r="Z286" i="18" a="1"/>
  <c r="Z287" i="18" s="1"/>
  <c r="S83" i="7" s="1"/>
  <c r="AB286" i="18" a="1"/>
  <c r="AA286" i="18" a="1"/>
  <c r="Z286" i="18" l="1"/>
  <c r="S82" i="7" s="1"/>
  <c r="Z288" i="18"/>
  <c r="S84" i="7" s="1"/>
  <c r="Z289" i="18"/>
  <c r="AA288" i="18"/>
  <c r="T84" i="7" s="1"/>
  <c r="AA286" i="18"/>
  <c r="T82" i="7" s="1"/>
  <c r="AA287" i="18"/>
  <c r="T83" i="7" s="1"/>
  <c r="AA289" i="18"/>
  <c r="AB286" i="18"/>
  <c r="U82" i="7" s="1"/>
  <c r="F82" i="7" s="1"/>
  <c r="G16" i="7" s="1"/>
  <c r="AB287" i="18"/>
  <c r="U83" i="7" s="1"/>
  <c r="AB288" i="18"/>
  <c r="U84" i="7" s="1"/>
  <c r="F84" i="7" s="1"/>
  <c r="G18" i="7" s="1"/>
  <c r="AB289" i="18"/>
  <c r="F83" i="7"/>
  <c r="G17" i="7" s="1"/>
  <c r="G1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C218" authorId="0" shapeId="0" xr:uid="{00000000-0006-0000-0100-00000300000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11" authorId="0" shapeId="0" xr:uid="{00000000-0006-0000-0400-000001000000}">
      <text>
        <r>
          <rPr>
            <b/>
            <sz val="9"/>
            <color indexed="81"/>
            <rFont val="Calibri"/>
            <family val="2"/>
          </rPr>
          <t>Alex Slocum:</t>
        </r>
        <r>
          <rPr>
            <sz val="9"/>
            <color indexed="81"/>
            <rFont val="Calibri"/>
            <family val="2"/>
          </rPr>
          <t xml:space="preserve">
Note absolute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28" authorId="0" shapeId="0" xr:uid="{00000000-0006-0000-0D00-00000100000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<sst xmlns="http://schemas.openxmlformats.org/spreadsheetml/2006/main" count="4131" uniqueCount="448">
  <si>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</si>
  <si>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</si>
  <si>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</si>
  <si>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</si>
  <si>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</si>
  <si>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</si>
  <si>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</si>
  <si>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</si>
  <si>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</si>
  <si>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</si>
  <si>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</si>
  <si>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</si>
  <si>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</si>
  <si>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</si>
  <si>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</si>
  <si>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</si>
  <si>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</si>
  <si>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</si>
  <si>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</si>
  <si>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</si>
  <si>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</si>
  <si>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</si>
  <si>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</si>
  <si>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</si>
  <si>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</si>
  <si>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</si>
  <si>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</si>
  <si>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</si>
  <si>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</si>
  <si>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</si>
  <si>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</si>
  <si>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</si>
  <si>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</si>
  <si>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</si>
  <si>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</si>
  <si>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</si>
  <si>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</si>
  <si>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</si>
  <si>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</si>
  <si>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</si>
  <si>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</si>
  <si>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</si>
  <si>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</si>
  <si>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</si>
  <si>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</si>
  <si>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</si>
  <si>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</si>
  <si>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</si>
  <si>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</si>
  <si>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</si>
  <si>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</si>
  <si>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</si>
  <si>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</si>
  <si>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</si>
  <si>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</si>
  <si>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</si>
  <si>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</si>
  <si>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</si>
  <si>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</si>
  <si>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</si>
  <si>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</si>
  <si>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</si>
  <si>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</si>
  <si>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</si>
  <si>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</si>
  <si>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</si>
  <si>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</si>
  <si>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</si>
  <si>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</si>
  <si>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</si>
  <si>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</si>
  <si>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</si>
  <si>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</si>
  <si>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</si>
  <si>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</si>
  <si>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</si>
  <si>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</si>
  <si>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</si>
  <si>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</si>
  <si>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</si>
  <si>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</si>
  <si>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</si>
  <si>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</si>
  <si>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</si>
  <si>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</si>
  <si>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</si>
  <si>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</si>
  <si>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</si>
  <si>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</si>
  <si>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</si>
  <si>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</si>
  <si>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</si>
  <si>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</si>
  <si>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</si>
  <si>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</si>
  <si>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</si>
  <si>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</si>
  <si>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</si>
  <si>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</si>
  <si>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</si>
  <si>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</si>
  <si>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</si>
  <si>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</si>
  <si>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</si>
  <si>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</si>
  <si>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</si>
  <si>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</si>
  <si>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</si>
  <si>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</si>
  <si>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</si>
  <si>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</si>
  <si>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</si>
  <si>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</si>
  <si>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</si>
  <si>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</si>
  <si>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</si>
  <si>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</si>
  <si>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</si>
  <si>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</si>
  <si>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</si>
  <si>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</si>
  <si>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</si>
  <si>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</si>
  <si>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</si>
  <si>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</si>
  <si>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</si>
  <si>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</si>
  <si>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</si>
  <si>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</si>
  <si>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</si>
  <si>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</si>
  <si>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</si>
  <si>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</si>
  <si>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</si>
  <si>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</si>
  <si>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</si>
  <si>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</si>
  <si>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</si>
  <si>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</si>
  <si>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</si>
  <si>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</si>
  <si>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</si>
  <si>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</si>
  <si>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</si>
  <si>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</si>
  <si>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</si>
  <si>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</si>
  <si>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</si>
  <si>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</si>
  <si>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</si>
  <si>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</si>
  <si>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</si>
  <si>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</si>
  <si>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</si>
  <si>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</si>
  <si>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</si>
  <si>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</si>
  <si>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</si>
  <si>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</si>
  <si>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</si>
  <si>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</si>
  <si>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</si>
  <si>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</si>
  <si>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</si>
  <si>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</si>
  <si>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</si>
  <si>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</si>
  <si>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</si>
  <si>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</si>
  <si>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</si>
  <si>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</si>
  <si>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</si>
  <si>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</si>
  <si>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</si>
  <si>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</si>
  <si>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</si>
  <si>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</si>
  <si>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</si>
  <si>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</si>
  <si>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</si>
  <si>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</si>
  <si>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</si>
  <si>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</si>
  <si>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</si>
  <si>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</si>
  <si>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</si>
  <si>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</si>
  <si>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</si>
  <si>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</si>
  <si>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</si>
  <si>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</si>
  <si>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</si>
  <si>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</si>
  <si>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</si>
  <si>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</si>
  <si>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</si>
  <si>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</si>
  <si>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</si>
  <si>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</si>
  <si>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</si>
  <si>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</si>
  <si>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</si>
  <si>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</si>
  <si>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</si>
  <si>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</si>
  <si>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</si>
  <si>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</si>
  <si>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</si>
  <si>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</si>
  <si>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</si>
  <si>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</si>
  <si>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</si>
  <si>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</si>
  <si>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</si>
  <si>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</si>
  <si>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</si>
  <si>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</si>
  <si>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</si>
  <si>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</si>
  <si>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</si>
  <si>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</si>
  <si>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</si>
  <si>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</si>
  <si>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</si>
  <si>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</si>
  <si>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</si>
  <si>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</si>
  <si>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</si>
  <si>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</si>
  <si>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</si>
  <si>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</si>
  <si>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</si>
  <si>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</si>
  <si>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</si>
  <si>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</si>
  <si>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</si>
  <si>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</si>
  <si>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</si>
  <si>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</si>
  <si>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</si>
  <si>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</si>
  <si>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</si>
  <si>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</si>
  <si>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</si>
  <si>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</si>
  <si>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</si>
  <si>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</si>
  <si>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</si>
  <si>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</si>
  <si>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</si>
  <si>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</si>
  <si>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</si>
  <si>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</si>
  <si>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</si>
  <si>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</si>
  <si>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</si>
  <si>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</si>
  <si>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</si>
  <si>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</si>
  <si>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</si>
  <si>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</si>
  <si>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</si>
  <si>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</si>
  <si>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</si>
  <si>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</si>
  <si>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</si>
  <si>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</si>
  <si>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</si>
  <si>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</si>
  <si>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</si>
  <si>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</si>
  <si>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</si>
  <si>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</si>
  <si>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</si>
  <si>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</si>
  <si>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</si>
  <si>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</si>
  <si>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</si>
  <si>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</si>
  <si>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</si>
  <si>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</si>
  <si>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</si>
  <si>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</si>
  <si>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</si>
  <si>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</si>
  <si>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</si>
  <si>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</si>
  <si>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</si>
  <si>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</si>
  <si>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</si>
  <si>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</si>
  <si>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</si>
  <si>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</si>
  <si>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</si>
  <si>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</si>
  <si>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</si>
  <si>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</si>
  <si>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</si>
  <si>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</si>
  <si>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</si>
  <si>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</si>
  <si>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</si>
  <si>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</si>
  <si>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</si>
  <si>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</si>
  <si>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</si>
  <si>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</si>
  <si>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</si>
  <si>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</si>
  <si>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</si>
  <si>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</si>
  <si>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</si>
  <si>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</si>
  <si>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</si>
  <si>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</si>
  <si>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</si>
  <si>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</si>
  <si>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</si>
  <si>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</si>
  <si>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spindle shaft</t>
  </si>
  <si>
    <t>steel</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</si>
  <si>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</si>
  <si>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</si>
  <si>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</si>
  <si>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</si>
  <si>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</si>
  <si>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</si>
  <si>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</si>
  <si>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</si>
  <si>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</si>
  <si>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</si>
  <si>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</si>
  <si>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</si>
  <si>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chuncky block</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</si>
  <si>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</si>
  <si>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</si>
  <si>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</si>
  <si>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</si>
  <si>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</si>
  <si>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</si>
  <si>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</si>
  <si>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</si>
  <si>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</si>
  <si>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</si>
  <si>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</si>
  <si>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</si>
  <si>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</si>
  <si>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</si>
  <si>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</si>
  <si>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</si>
  <si>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</si>
  <si>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</si>
  <si>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</si>
  <si>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</si>
  <si>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</si>
  <si>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</si>
  <si>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</si>
  <si>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</si>
  <si>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</si>
  <si>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</si>
  <si>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</si>
  <si>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</si>
  <si>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</si>
  <si>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</si>
  <si>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</si>
  <si>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</si>
  <si>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</si>
  <si>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</si>
  <si>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</si>
  <si>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</si>
  <si>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</si>
  <si>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</si>
  <si>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</si>
  <si>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</si>
  <si>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</si>
  <si>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</si>
  <si>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</si>
  <si>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</si>
  <si>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</si>
  <si>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</si>
  <si>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</si>
  <si>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servo</t>
  </si>
  <si>
    <t>Beam properties (rectangular tube)</t>
  </si>
  <si>
    <t>2017.03.24</t>
  </si>
  <si>
    <t>corrected simply supported beam force loaded slope beam equations (needed to be 1/3)</t>
  </si>
  <si>
    <t>X servo</t>
  </si>
  <si>
    <t>I width dimension of beam // nuetral axis (mm^4) (bend in X direction)</t>
  </si>
  <si>
    <t>Rotation angles to be used for error gain calculation for this axis</t>
  </si>
  <si>
    <t>2018.03.12</t>
  </si>
  <si>
    <t>error gains for each axis computed based on the max angular errors calculated for that axis:  this will yield more accurate cosine error estimates</t>
  </si>
  <si>
    <t>cutting point on workpiece</t>
  </si>
  <si>
    <t>Resulting ideal coordintes of point of interest in the next CS</t>
  </si>
  <si>
    <t>Description</t>
  </si>
  <si>
    <t>CS_1 location in CS_2 coordinates</t>
  </si>
  <si>
    <t>POI location in CS_1 coordinates</t>
  </si>
  <si>
    <t>CS_2 location in CS_3 coordinates</t>
  </si>
  <si>
    <t>Sum (must be zero)</t>
  </si>
  <si>
    <r>
      <t xml:space="preserve">Servo cells are </t>
    </r>
    <r>
      <rPr>
        <b/>
        <sz val="12"/>
        <color rgb="FF7030A0"/>
        <rFont val="Calibri (Body)_x0000_"/>
      </rPr>
      <t xml:space="preserve">BOLD PURPLE </t>
    </r>
    <r>
      <rPr>
        <b/>
        <sz val="12"/>
        <color theme="1"/>
        <rFont val="Calibri (Body)_x0000_"/>
      </rPr>
      <t>other numbers for quick ref and all are used workbook CSs and Loads</t>
    </r>
  </si>
  <si>
    <t>2018.04.04</t>
  </si>
  <si>
    <t>Added example for 5 axis model showing how master coordinates with servo positions on Summary workbook can drive cells on CSs and Loads workbook</t>
  </si>
  <si>
    <t>2018.04.05</t>
  </si>
  <si>
    <t>Clarified description that POI "ideal" coordinates (assumes no errors are displayed.</t>
  </si>
  <si>
    <r>
      <t xml:space="preserve">X translation of this CS's origin along </t>
    </r>
    <r>
      <rPr>
        <i/>
        <u/>
        <sz val="12"/>
        <color theme="1"/>
        <rFont val="Calibri (Body)_x0000_"/>
      </rPr>
      <t>next</t>
    </r>
    <r>
      <rPr>
        <sz val="12"/>
        <color theme="1"/>
        <rFont val="Calibri"/>
        <family val="2"/>
        <scheme val="minor"/>
      </rPr>
      <t xml:space="preserve"> CS's X axis</t>
    </r>
  </si>
  <si>
    <r>
      <t xml:space="preserve">Y translation of aligned CS along </t>
    </r>
    <r>
      <rPr>
        <i/>
        <u/>
        <sz val="12"/>
        <color theme="1"/>
        <rFont val="Calibri (Body)_x0000_"/>
      </rPr>
      <t>next</t>
    </r>
    <r>
      <rPr>
        <sz val="12"/>
        <color theme="1"/>
        <rFont val="Calibri"/>
        <family val="2"/>
        <scheme val="minor"/>
      </rPr>
      <t xml:space="preserve"> CS's Y axis</t>
    </r>
  </si>
  <si>
    <r>
      <t xml:space="preserve">Z translation of aligned CS along </t>
    </r>
    <r>
      <rPr>
        <i/>
        <u/>
        <sz val="12"/>
        <color theme="1"/>
        <rFont val="Calibri (Body)_x0000_"/>
      </rPr>
      <t>next</t>
    </r>
    <r>
      <rPr>
        <sz val="12"/>
        <color theme="1"/>
        <rFont val="Calibri"/>
        <family val="2"/>
        <scheme val="minor"/>
      </rPr>
      <t xml:space="preserve"> CS's Z axis</t>
    </r>
  </si>
  <si>
    <r>
      <t xml:space="preserve">X coordinate of point of interest in </t>
    </r>
    <r>
      <rPr>
        <i/>
        <u/>
        <sz val="12"/>
        <color theme="1"/>
        <rFont val="Calibri (Body)_x0000_"/>
      </rPr>
      <t>next</t>
    </r>
    <r>
      <rPr>
        <sz val="12"/>
        <color theme="1"/>
        <rFont val="Calibri"/>
        <family val="2"/>
        <scheme val="minor"/>
      </rPr>
      <t xml:space="preserve"> CS</t>
    </r>
  </si>
  <si>
    <r>
      <t xml:space="preserve">Y coordinate of point of interest in </t>
    </r>
    <r>
      <rPr>
        <i/>
        <u/>
        <sz val="12"/>
        <color theme="1"/>
        <rFont val="Calibri (Body)_x0000_"/>
      </rPr>
      <t>next</t>
    </r>
    <r>
      <rPr>
        <sz val="12"/>
        <color theme="1"/>
        <rFont val="Calibri"/>
        <family val="2"/>
        <scheme val="minor"/>
      </rPr>
      <t xml:space="preserve"> CS</t>
    </r>
  </si>
  <si>
    <r>
      <t xml:space="preserve">Z coordinate of point of interest in </t>
    </r>
    <r>
      <rPr>
        <i/>
        <u/>
        <sz val="12"/>
        <color theme="1"/>
        <rFont val="Calibri (Body)_x0000_"/>
      </rPr>
      <t>next</t>
    </r>
    <r>
      <rPr>
        <sz val="12"/>
        <color theme="1"/>
        <rFont val="Calibri"/>
        <family val="2"/>
        <scheme val="minor"/>
      </rPr>
      <t xml:space="preserve"> CS</t>
    </r>
  </si>
  <si>
    <t>Location of CS_1's origin in CS_2</t>
  </si>
  <si>
    <t>Location of CS_2's origin in CS_3</t>
  </si>
  <si>
    <t>Location of CS_3's origin in CS_4</t>
  </si>
  <si>
    <t>Location of CS_4's origin in CS_5</t>
  </si>
  <si>
    <t>Location of CS_5's origin in CS_6</t>
  </si>
  <si>
    <t>Location of CS_6's origin in CS_7</t>
  </si>
  <si>
    <t>Location of CS_7's origin in CS_8</t>
  </si>
  <si>
    <t>Location of CS_8's origin in CS_9</t>
  </si>
  <si>
    <t>Location of CS_9's origin in CS_10</t>
  </si>
  <si>
    <t>Location of CS_9's origin in a ref CS</t>
  </si>
  <si>
    <t>Setting up the structural loop and the CS's locations wrt each other, using servo motions to drive changes</t>
  </si>
  <si>
    <t>Not used</t>
  </si>
  <si>
    <t>This 2 DoF machine has fixed shape "L-arm" moving on an X axis</t>
  </si>
  <si>
    <t>Y servo</t>
  </si>
  <si>
    <t>2020.10.11</t>
  </si>
  <si>
    <t>Last use:</t>
  </si>
  <si>
    <t>Z motion carriage where tool tip is POI</t>
  </si>
  <si>
    <t>Y-axis carriage</t>
  </si>
  <si>
    <t>X-Axis carriage</t>
  </si>
  <si>
    <t>X-Axis structure</t>
  </si>
  <si>
    <t>CS_3 location in CS_4</t>
  </si>
  <si>
    <t>X servo (0-600 mm)</t>
  </si>
  <si>
    <t>Y servo motion (0 to 700 mm)</t>
  </si>
  <si>
    <t>Z servo motion (0-200)</t>
  </si>
  <si>
    <t>Z servo</t>
  </si>
  <si>
    <t>Tool point wrt Z carriage</t>
  </si>
  <si>
    <t>Z carriage CoS wrt Y carriage CoS</t>
  </si>
  <si>
    <t>Y carriage CoS wrt X carriage CoS</t>
  </si>
  <si>
    <t>CS_4 coordinates wrt the toolpoint</t>
  </si>
  <si>
    <t>X carriage CoS wrt X axis anchor to "rigid frame"</t>
  </si>
  <si>
    <t>Anchor point wrt the cutting point</t>
  </si>
  <si>
    <r>
      <rPr>
        <b/>
        <sz val="12"/>
        <color rgb="FFFF0000"/>
        <rFont val="Calibri"/>
        <family val="2"/>
        <scheme val="minor"/>
      </rPr>
      <t xml:space="preserve">Input </t>
    </r>
    <r>
      <rPr>
        <b/>
        <sz val="12"/>
        <color rgb="FFFF0000"/>
        <rFont val="Calibri (Body)"/>
      </rPr>
      <t>(Input from Summary</t>
    </r>
    <r>
      <rPr>
        <b/>
        <sz val="12"/>
        <color rgb="FFFF0000"/>
        <rFont val="Calibri"/>
        <family val="2"/>
        <scheme val="minor"/>
      </rPr>
      <t>)</t>
    </r>
  </si>
  <si>
    <t>Not Used</t>
  </si>
  <si>
    <t>Use one random error for bearings for study?</t>
  </si>
  <si>
    <t>YES</t>
  </si>
  <si>
    <t>REBS</t>
  </si>
  <si>
    <t>Random error for bearings (e.g., running parallelism)</t>
  </si>
  <si>
    <t>REB</t>
  </si>
  <si>
    <t>2022.06.22</t>
  </si>
  <si>
    <t>fixed sum v RSS combination in the summary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</si>
</sst>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 numFmtId="171" formatCode="0.0%"/>
  </numFmts>
  <fonts count="3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b/>
      <sz val="12"/>
      <color rgb="FF7030A0"/>
      <name val="Calibri"/>
      <family val="2"/>
      <scheme val="minor"/>
    </font>
    <font>
      <b/>
      <sz val="12"/>
      <color rgb="FF7030A0"/>
      <name val="Calibri (Body)_x0000_"/>
    </font>
    <font>
      <b/>
      <sz val="12"/>
      <color theme="1"/>
      <name val="Calibri (Body)_x0000_"/>
    </font>
    <font>
      <i/>
      <u/>
      <sz val="12"/>
      <color theme="1"/>
      <name val="Calibri (Body)_x0000_"/>
    </font>
    <font>
      <b/>
      <i/>
      <sz val="12"/>
      <color theme="1"/>
      <name val="Calibri"/>
      <family val="2"/>
      <scheme val="minor"/>
    </font>
    <font>
      <b/>
      <i/>
      <sz val="12"/>
      <color theme="1"/>
      <name val="Calibri (Body)_x0000_"/>
    </font>
    <font>
      <b/>
      <sz val="10"/>
      <color theme="1"/>
      <name val="Calibri"/>
      <family val="2"/>
      <scheme val="minor"/>
    </font>
    <font>
      <sz val="12"/>
      <color rgb="FF7030A0"/>
      <name val="Calibri"/>
      <family val="2"/>
      <scheme val="minor"/>
    </font>
    <font>
      <b/>
      <sz val="12"/>
      <color rgb="FFFF0000"/>
      <name val="Calibri (Body)"/>
    </font>
  </fonts>
  <fills count="13">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00FF"/>
        <bgColor indexed="64"/>
      </patternFill>
    </fill>
    <fill>
      <patternFill patternType="solid">
        <fgColor rgb="FFFFFF00"/>
        <bgColor rgb="FF000000"/>
      </patternFill>
    </fill>
    <fill>
      <patternFill patternType="solid">
        <fgColor rgb="FF92D050"/>
        <bgColor indexed="64"/>
      </patternFill>
    </fill>
    <fill>
      <patternFill patternType="solid">
        <fgColor rgb="FFFFC000"/>
        <bgColor indexed="64"/>
      </patternFill>
    </fill>
  </fills>
  <borders count="38">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09">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3" fillId="0" borderId="0" xfId="0" applyFont="1" applyAlignment="1">
      <alignment horizontal="center"/>
    </xf>
    <xf numFmtId="0" fontId="3" fillId="0" borderId="0" xfId="0" applyFont="1" applyAlignment="1">
      <alignment horizontal="left"/>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0" fontId="8" fillId="0" borderId="17" xfId="0" applyFont="1" applyBorder="1"/>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7" fillId="0" borderId="20"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0" fontId="8" fillId="9" borderId="13" xfId="0" applyFont="1" applyFill="1" applyBorder="1"/>
    <xf numFmtId="11" fontId="8" fillId="5" borderId="13" xfId="0" applyNumberFormat="1" applyFont="1" applyFill="1" applyBorder="1"/>
    <xf numFmtId="11" fontId="7" fillId="10" borderId="13" xfId="0" applyNumberFormat="1" applyFont="1" applyFill="1" applyBorder="1"/>
    <xf numFmtId="1" fontId="18" fillId="0" borderId="13" xfId="0" applyNumberFormat="1" applyFont="1" applyBorder="1"/>
    <xf numFmtId="166" fontId="7" fillId="0" borderId="13" xfId="173" applyNumberFormat="1" applyFont="1" applyBorder="1"/>
    <xf numFmtId="11" fontId="8" fillId="0" borderId="17" xfId="0" applyNumberFormat="1" applyFont="1" applyBorder="1"/>
    <xf numFmtId="0" fontId="17" fillId="0" borderId="13" xfId="0" applyFont="1" applyFill="1" applyBorder="1"/>
    <xf numFmtId="11" fontId="7" fillId="0" borderId="20" xfId="0" applyNumberFormat="1" applyFont="1" applyFill="1" applyBorder="1"/>
    <xf numFmtId="0" fontId="17" fillId="0" borderId="20" xfId="0" applyFont="1" applyFill="1" applyBorder="1"/>
    <xf numFmtId="0" fontId="17" fillId="3" borderId="13" xfId="0" applyFont="1" applyFill="1" applyBorder="1"/>
    <xf numFmtId="0" fontId="17" fillId="3" borderId="20" xfId="0" applyFont="1" applyFill="1" applyBorder="1"/>
    <xf numFmtId="0" fontId="0" fillId="11" borderId="13" xfId="0" applyFill="1" applyBorder="1"/>
    <xf numFmtId="0" fontId="0" fillId="11" borderId="13" xfId="0" applyFill="1" applyBorder="1" applyAlignment="1">
      <alignment horizontal="left" indent="1"/>
    </xf>
    <xf numFmtId="11" fontId="2" fillId="11" borderId="13" xfId="0" applyNumberFormat="1" applyFont="1" applyFill="1" applyBorder="1"/>
    <xf numFmtId="11" fontId="8" fillId="0" borderId="0" xfId="0" applyNumberFormat="1" applyFont="1"/>
    <xf numFmtId="11" fontId="8" fillId="0" borderId="0" xfId="0" applyNumberFormat="1" applyFont="1" applyAlignment="1">
      <alignment horizontal="center"/>
    </xf>
    <xf numFmtId="0" fontId="3" fillId="0" borderId="0" xfId="0" applyFont="1" applyAlignment="1">
      <alignment horizontal="left"/>
    </xf>
    <xf numFmtId="0" fontId="3" fillId="0" borderId="0" xfId="0" applyFont="1" applyFill="1" applyAlignment="1">
      <alignment wrapText="1"/>
    </xf>
    <xf numFmtId="0" fontId="0" fillId="0" borderId="0" xfId="0" applyFill="1" applyAlignment="1"/>
    <xf numFmtId="0" fontId="11" fillId="2" borderId="0" xfId="0" applyFont="1" applyFill="1"/>
    <xf numFmtId="0" fontId="2" fillId="2" borderId="0" xfId="0" applyFont="1" applyFill="1"/>
    <xf numFmtId="0" fontId="0" fillId="0" borderId="0" xfId="0" applyFill="1" applyAlignment="1">
      <alignment horizontal="right"/>
    </xf>
    <xf numFmtId="1" fontId="0" fillId="0" borderId="0" xfId="0" applyNumberFormat="1" applyFont="1" applyFill="1"/>
    <xf numFmtId="0" fontId="0" fillId="0" borderId="0" xfId="0" applyFont="1"/>
    <xf numFmtId="0" fontId="3" fillId="0" borderId="0" xfId="0" applyFont="1" applyAlignment="1">
      <alignment vertical="center" wrapText="1"/>
    </xf>
    <xf numFmtId="0" fontId="22" fillId="12" borderId="0" xfId="0" applyFont="1" applyFill="1" applyAlignment="1">
      <alignment horizontal="right"/>
    </xf>
    <xf numFmtId="0" fontId="0" fillId="0" borderId="35" xfId="0" applyBorder="1"/>
    <xf numFmtId="164" fontId="7" fillId="3" borderId="36" xfId="0" applyNumberFormat="1" applyFont="1" applyFill="1" applyBorder="1"/>
    <xf numFmtId="164" fontId="7" fillId="3" borderId="37" xfId="0" applyNumberFormat="1" applyFont="1" applyFill="1" applyBorder="1"/>
    <xf numFmtId="0" fontId="0" fillId="2" borderId="0" xfId="0" applyFill="1"/>
    <xf numFmtId="0" fontId="29" fillId="12" borderId="0" xfId="0" applyFont="1" applyFill="1"/>
    <xf numFmtId="0" fontId="0" fillId="0" borderId="0" xfId="0" applyFill="1" applyAlignment="1">
      <alignment vertical="center"/>
    </xf>
    <xf numFmtId="0" fontId="22" fillId="12" borderId="0" xfId="0" applyFont="1" applyFill="1"/>
    <xf numFmtId="0" fontId="0" fillId="2" borderId="0" xfId="0" applyFill="1" applyAlignment="1">
      <alignment horizontal="right"/>
    </xf>
    <xf numFmtId="0" fontId="7" fillId="2" borderId="0" xfId="0" applyFont="1" applyFill="1" applyAlignment="1">
      <alignment horizontal="center"/>
    </xf>
    <xf numFmtId="0" fontId="3" fillId="0" borderId="13" xfId="0" applyFont="1" applyBorder="1" applyAlignment="1">
      <alignment horizontal="center"/>
    </xf>
    <xf numFmtId="0" fontId="0" fillId="6" borderId="0" xfId="0" applyFill="1"/>
    <xf numFmtId="0" fontId="0" fillId="6" borderId="0" xfId="0" applyFont="1" applyFill="1"/>
    <xf numFmtId="0" fontId="2" fillId="6" borderId="0" xfId="0" applyFont="1" applyFill="1"/>
    <xf numFmtId="0" fontId="11" fillId="6" borderId="1" xfId="0" applyFont="1" applyFill="1" applyBorder="1"/>
    <xf numFmtId="0" fontId="11" fillId="12" borderId="1" xfId="0" applyFont="1" applyFill="1" applyBorder="1"/>
    <xf numFmtId="0" fontId="22" fillId="6" borderId="0" xfId="0" applyFont="1" applyFill="1"/>
    <xf numFmtId="1" fontId="22" fillId="6" borderId="0" xfId="0" applyNumberFormat="1" applyFont="1" applyFill="1"/>
    <xf numFmtId="0" fontId="11" fillId="6" borderId="0" xfId="0" applyFont="1" applyFill="1"/>
    <xf numFmtId="0" fontId="7" fillId="6" borderId="0" xfId="0" applyFont="1" applyFill="1"/>
    <xf numFmtId="0" fontId="11" fillId="12" borderId="0" xfId="0" applyFont="1" applyFill="1"/>
    <xf numFmtId="171" fontId="3" fillId="8" borderId="17" xfId="1038" applyNumberFormat="1" applyFont="1" applyFill="1" applyBorder="1"/>
    <xf numFmtId="1" fontId="7" fillId="8" borderId="17" xfId="0" applyNumberFormat="1" applyFont="1" applyFill="1" applyBorder="1"/>
    <xf numFmtId="0" fontId="3" fillId="3" borderId="13" xfId="0" applyFont="1" applyFill="1" applyBorder="1" applyAlignment="1"/>
    <xf numFmtId="0" fontId="3" fillId="3" borderId="13" xfId="0" applyFont="1" applyFill="1" applyBorder="1" applyAlignment="1">
      <alignment vertical="center"/>
    </xf>
    <xf numFmtId="0" fontId="0" fillId="0" borderId="0" xfId="0"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28" fillId="2" borderId="0" xfId="0" applyFont="1" applyFill="1" applyAlignment="1">
      <alignment horizontal="center" vertical="center" wrapText="1"/>
    </xf>
    <xf numFmtId="0" fontId="3" fillId="0" borderId="0" xfId="0" applyFont="1" applyAlignment="1">
      <alignment horizontal="center"/>
    </xf>
    <xf numFmtId="0" fontId="9" fillId="0" borderId="0" xfId="0" applyFont="1" applyAlignment="1">
      <alignment horizont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3" fillId="3" borderId="13" xfId="0" applyFont="1" applyFill="1" applyBorder="1" applyAlignment="1">
      <alignment horizontal="center"/>
    </xf>
    <xf numFmtId="0" fontId="3" fillId="0" borderId="0" xfId="0" applyFont="1" applyAlignment="1">
      <alignment horizontal="center" vertical="center"/>
    </xf>
    <xf numFmtId="0" fontId="3" fillId="4" borderId="0" xfId="0" applyFont="1" applyFill="1" applyAlignment="1">
      <alignment horizontal="center"/>
    </xf>
    <xf numFmtId="0" fontId="9" fillId="4" borderId="0" xfId="0" applyFont="1" applyFill="1" applyAlignment="1">
      <alignment horizontal="center"/>
    </xf>
    <xf numFmtId="0" fontId="12" fillId="0" borderId="0" xfId="0" applyFont="1" applyAlignment="1">
      <alignment horizontal="center" vertical="center" wrapText="1"/>
    </xf>
    <xf numFmtId="0" fontId="3" fillId="0" borderId="0" xfId="0" applyFont="1" applyAlignment="1">
      <alignment horizontal="center" wrapText="1"/>
    </xf>
    <xf numFmtId="0" fontId="13" fillId="0" borderId="0" xfId="0" applyFont="1" applyAlignment="1">
      <alignment horizontal="center" vertical="center" wrapText="1"/>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26" fillId="0" borderId="0" xfId="0" applyFont="1" applyAlignment="1">
      <alignment horizontal="left" vertical="center" wrapText="1"/>
    </xf>
    <xf numFmtId="0" fontId="27" fillId="0" borderId="0" xfId="0" applyFont="1" applyAlignment="1">
      <alignment horizontal="left" vertical="center" wrapText="1"/>
    </xf>
    <xf numFmtId="0" fontId="0" fillId="0" borderId="0" xfId="0" applyFont="1" applyAlignment="1">
      <alignment horizontal="left" vertic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7" fillId="3" borderId="17" xfId="0" applyFont="1" applyFill="1" applyBorder="1" applyAlignment="1">
      <alignment horizontal="center"/>
    </xf>
    <xf numFmtId="0" fontId="7" fillId="3" borderId="19" xfId="0" applyFont="1" applyFill="1" applyBorder="1" applyAlignment="1">
      <alignment horizontal="center"/>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41">
    <cellStyle name="Comma" xfId="173" builtinId="3"/>
    <cellStyle name="Followed Hyperlink" xfId="68" builtinId="9" hidden="1"/>
    <cellStyle name="Followed Hyperlink" xfId="72" builtinId="9" hidden="1"/>
    <cellStyle name="Followed Hyperlink" xfId="76" builtinId="9" hidden="1"/>
    <cellStyle name="Followed Hyperlink" xfId="80" builtinId="9" hidden="1"/>
    <cellStyle name="Followed Hyperlink" xfId="84" builtinId="9" hidden="1"/>
    <cellStyle name="Followed Hyperlink" xfId="88" builtinId="9" hidden="1"/>
    <cellStyle name="Followed Hyperlink" xfId="92" builtinId="9" hidden="1"/>
    <cellStyle name="Followed Hyperlink" xfId="96" builtinId="9" hidden="1"/>
    <cellStyle name="Followed Hyperlink" xfId="100" builtinId="9" hidden="1"/>
    <cellStyle name="Followed Hyperlink" xfId="104" builtinId="9" hidden="1"/>
    <cellStyle name="Followed Hyperlink" xfId="108" builtinId="9" hidden="1"/>
    <cellStyle name="Followed Hyperlink" xfId="112" builtinId="9" hidden="1"/>
    <cellStyle name="Followed Hyperlink" xfId="116" builtinId="9" hidden="1"/>
    <cellStyle name="Followed Hyperlink" xfId="120" builtinId="9" hidden="1"/>
    <cellStyle name="Followed Hyperlink" xfId="124" builtinId="9" hidden="1"/>
    <cellStyle name="Followed Hyperlink" xfId="128" builtinId="9" hidden="1"/>
    <cellStyle name="Followed Hyperlink" xfId="132" builtinId="9" hidden="1"/>
    <cellStyle name="Followed Hyperlink" xfId="136" builtinId="9" hidden="1"/>
    <cellStyle name="Followed Hyperlink" xfId="140" builtinId="9" hidden="1"/>
    <cellStyle name="Followed Hyperlink" xfId="144" builtinId="9" hidden="1"/>
    <cellStyle name="Followed Hyperlink" xfId="148" builtinId="9" hidden="1"/>
    <cellStyle name="Followed Hyperlink" xfId="152" builtinId="9" hidden="1"/>
    <cellStyle name="Followed Hyperlink" xfId="156" builtinId="9" hidden="1"/>
    <cellStyle name="Followed Hyperlink" xfId="160" builtinId="9" hidden="1"/>
    <cellStyle name="Followed Hyperlink" xfId="164" builtinId="9" hidden="1"/>
    <cellStyle name="Followed Hyperlink" xfId="168" builtinId="9" hidden="1"/>
    <cellStyle name="Followed Hyperlink" xfId="172"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9" builtinId="9" hidden="1"/>
    <cellStyle name="Followed Hyperlink" xfId="393" builtinId="9" hidden="1"/>
    <cellStyle name="Followed Hyperlink" xfId="397" builtinId="9" hidden="1"/>
    <cellStyle name="Followed Hyperlink" xfId="401" builtinId="9" hidden="1"/>
    <cellStyle name="Followed Hyperlink" xfId="405" builtinId="9" hidden="1"/>
    <cellStyle name="Followed Hyperlink" xfId="409" builtinId="9" hidden="1"/>
    <cellStyle name="Followed Hyperlink" xfId="413" builtinId="9" hidden="1"/>
    <cellStyle name="Followed Hyperlink" xfId="417" builtinId="9" hidden="1"/>
    <cellStyle name="Followed Hyperlink" xfId="421" builtinId="9" hidden="1"/>
    <cellStyle name="Followed Hyperlink" xfId="425" builtinId="9" hidden="1"/>
    <cellStyle name="Followed Hyperlink" xfId="429" builtinId="9" hidden="1"/>
    <cellStyle name="Followed Hyperlink" xfId="433" builtinId="9" hidden="1"/>
    <cellStyle name="Followed Hyperlink" xfId="437" builtinId="9" hidden="1"/>
    <cellStyle name="Followed Hyperlink" xfId="441" builtinId="9" hidden="1"/>
    <cellStyle name="Followed Hyperlink" xfId="445" builtinId="9" hidden="1"/>
    <cellStyle name="Followed Hyperlink" xfId="449"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501" builtinId="9" hidden="1"/>
    <cellStyle name="Followed Hyperlink" xfId="505" builtinId="9" hidden="1"/>
    <cellStyle name="Followed Hyperlink" xfId="509" builtinId="9" hidden="1"/>
    <cellStyle name="Followed Hyperlink" xfId="513" builtinId="9" hidden="1"/>
    <cellStyle name="Followed Hyperlink" xfId="517" builtinId="9" hidden="1"/>
    <cellStyle name="Followed Hyperlink" xfId="521" builtinId="9" hidden="1"/>
    <cellStyle name="Followed Hyperlink" xfId="525" builtinId="9" hidden="1"/>
    <cellStyle name="Followed Hyperlink" xfId="529" builtinId="9" hidden="1"/>
    <cellStyle name="Followed Hyperlink" xfId="533" builtinId="9" hidden="1"/>
    <cellStyle name="Followed Hyperlink" xfId="537" builtinId="9" hidden="1"/>
    <cellStyle name="Followed Hyperlink" xfId="541" builtinId="9" hidden="1"/>
    <cellStyle name="Followed Hyperlink" xfId="545" builtinId="9" hidden="1"/>
    <cellStyle name="Followed Hyperlink" xfId="549" builtinId="9" hidden="1"/>
    <cellStyle name="Followed Hyperlink" xfId="553" builtinId="9" hidden="1"/>
    <cellStyle name="Followed Hyperlink" xfId="557" builtinId="9" hidden="1"/>
    <cellStyle name="Followed Hyperlink" xfId="561" builtinId="9" hidden="1"/>
    <cellStyle name="Followed Hyperlink" xfId="565" builtinId="9" hidden="1"/>
    <cellStyle name="Followed Hyperlink" xfId="569" builtinId="9" hidden="1"/>
    <cellStyle name="Followed Hyperlink" xfId="573" builtinId="9" hidden="1"/>
    <cellStyle name="Followed Hyperlink" xfId="577" builtinId="9" hidden="1"/>
    <cellStyle name="Followed Hyperlink" xfId="581" builtinId="9" hidden="1"/>
    <cellStyle name="Followed Hyperlink" xfId="585" builtinId="9" hidden="1"/>
    <cellStyle name="Followed Hyperlink" xfId="589" builtinId="9" hidden="1"/>
    <cellStyle name="Followed Hyperlink" xfId="593" builtinId="9" hidden="1"/>
    <cellStyle name="Followed Hyperlink" xfId="597" builtinId="9" hidden="1"/>
    <cellStyle name="Followed Hyperlink" xfId="601" builtinId="9" hidden="1"/>
    <cellStyle name="Followed Hyperlink" xfId="605" builtinId="9" hidden="1"/>
    <cellStyle name="Followed Hyperlink" xfId="609" builtinId="9" hidden="1"/>
    <cellStyle name="Followed Hyperlink" xfId="613" builtinId="9" hidden="1"/>
    <cellStyle name="Followed Hyperlink" xfId="617" builtinId="9" hidden="1"/>
    <cellStyle name="Followed Hyperlink" xfId="621" builtinId="9" hidden="1"/>
    <cellStyle name="Followed Hyperlink" xfId="625" builtinId="9" hidden="1"/>
    <cellStyle name="Followed Hyperlink" xfId="629" builtinId="9" hidden="1"/>
    <cellStyle name="Followed Hyperlink" xfId="633" builtinId="9" hidden="1"/>
    <cellStyle name="Followed Hyperlink" xfId="637" builtinId="9" hidden="1"/>
    <cellStyle name="Followed Hyperlink" xfId="641" builtinId="9" hidden="1"/>
    <cellStyle name="Followed Hyperlink" xfId="645" builtinId="9" hidden="1"/>
    <cellStyle name="Followed Hyperlink" xfId="649" builtinId="9" hidden="1"/>
    <cellStyle name="Followed Hyperlink" xfId="653" builtinId="9" hidden="1"/>
    <cellStyle name="Followed Hyperlink" xfId="657" builtinId="9" hidden="1"/>
    <cellStyle name="Followed Hyperlink" xfId="661" builtinId="9" hidden="1"/>
    <cellStyle name="Followed Hyperlink" xfId="665" builtinId="9" hidden="1"/>
    <cellStyle name="Followed Hyperlink" xfId="669" builtinId="9" hidden="1"/>
    <cellStyle name="Followed Hyperlink" xfId="673" builtinId="9" hidden="1"/>
    <cellStyle name="Followed Hyperlink" xfId="677" builtinId="9" hidden="1"/>
    <cellStyle name="Followed Hyperlink" xfId="681" builtinId="9" hidden="1"/>
    <cellStyle name="Followed Hyperlink" xfId="685" builtinId="9" hidden="1"/>
    <cellStyle name="Followed Hyperlink" xfId="689" builtinId="9" hidden="1"/>
    <cellStyle name="Followed Hyperlink" xfId="693" builtinId="9" hidden="1"/>
    <cellStyle name="Followed Hyperlink" xfId="697" builtinId="9" hidden="1"/>
    <cellStyle name="Followed Hyperlink" xfId="701" builtinId="9" hidden="1"/>
    <cellStyle name="Followed Hyperlink" xfId="705" builtinId="9" hidden="1"/>
    <cellStyle name="Followed Hyperlink" xfId="709" builtinId="9" hidden="1"/>
    <cellStyle name="Followed Hyperlink" xfId="713" builtinId="9" hidden="1"/>
    <cellStyle name="Followed Hyperlink" xfId="717" builtinId="9" hidden="1"/>
    <cellStyle name="Followed Hyperlink" xfId="721" builtinId="9" hidden="1"/>
    <cellStyle name="Followed Hyperlink" xfId="725" builtinId="9" hidden="1"/>
    <cellStyle name="Followed Hyperlink" xfId="729" builtinId="9" hidden="1"/>
    <cellStyle name="Followed Hyperlink" xfId="733" builtinId="9" hidden="1"/>
    <cellStyle name="Followed Hyperlink" xfId="737" builtinId="9" hidden="1"/>
    <cellStyle name="Followed Hyperlink" xfId="741" builtinId="9" hidden="1"/>
    <cellStyle name="Followed Hyperlink" xfId="745" builtinId="9" hidden="1"/>
    <cellStyle name="Followed Hyperlink" xfId="749" builtinId="9" hidden="1"/>
    <cellStyle name="Followed Hyperlink" xfId="753" builtinId="9" hidden="1"/>
    <cellStyle name="Followed Hyperlink" xfId="757" builtinId="9" hidden="1"/>
    <cellStyle name="Followed Hyperlink" xfId="761" builtinId="9" hidden="1"/>
    <cellStyle name="Followed Hyperlink" xfId="765" builtinId="9" hidden="1"/>
    <cellStyle name="Followed Hyperlink" xfId="769" builtinId="9" hidden="1"/>
    <cellStyle name="Followed Hyperlink" xfId="773" builtinId="9" hidden="1"/>
    <cellStyle name="Followed Hyperlink" xfId="777" builtinId="9" hidden="1"/>
    <cellStyle name="Followed Hyperlink" xfId="781" builtinId="9" hidden="1"/>
    <cellStyle name="Followed Hyperlink" xfId="785" builtinId="9" hidden="1"/>
    <cellStyle name="Followed Hyperlink" xfId="789" builtinId="9" hidden="1"/>
    <cellStyle name="Followed Hyperlink" xfId="793" builtinId="9" hidden="1"/>
    <cellStyle name="Followed Hyperlink" xfId="797" builtinId="9" hidden="1"/>
    <cellStyle name="Followed Hyperlink" xfId="801" builtinId="9" hidden="1"/>
    <cellStyle name="Followed Hyperlink" xfId="805" builtinId="9" hidden="1"/>
    <cellStyle name="Followed Hyperlink" xfId="809" builtinId="9" hidden="1"/>
    <cellStyle name="Followed Hyperlink" xfId="813" builtinId="9" hidden="1"/>
    <cellStyle name="Followed Hyperlink" xfId="817" builtinId="9" hidden="1"/>
    <cellStyle name="Followed Hyperlink" xfId="821" builtinId="9" hidden="1"/>
    <cellStyle name="Followed Hyperlink" xfId="825" builtinId="9" hidden="1"/>
    <cellStyle name="Followed Hyperlink" xfId="829" builtinId="9" hidden="1"/>
    <cellStyle name="Followed Hyperlink" xfId="833" builtinId="9" hidden="1"/>
    <cellStyle name="Followed Hyperlink" xfId="837" builtinId="9" hidden="1"/>
    <cellStyle name="Followed Hyperlink" xfId="841" builtinId="9" hidden="1"/>
    <cellStyle name="Followed Hyperlink" xfId="845" builtinId="9" hidden="1"/>
    <cellStyle name="Followed Hyperlink" xfId="849" builtinId="9" hidden="1"/>
    <cellStyle name="Followed Hyperlink" xfId="853" builtinId="9" hidden="1"/>
    <cellStyle name="Followed Hyperlink" xfId="857" builtinId="9" hidden="1"/>
    <cellStyle name="Followed Hyperlink" xfId="861" builtinId="9" hidden="1"/>
    <cellStyle name="Followed Hyperlink" xfId="865" builtinId="9" hidden="1"/>
    <cellStyle name="Followed Hyperlink" xfId="869" builtinId="9" hidden="1"/>
    <cellStyle name="Followed Hyperlink" xfId="873" builtinId="9" hidden="1"/>
    <cellStyle name="Followed Hyperlink" xfId="877" builtinId="9" hidden="1"/>
    <cellStyle name="Followed Hyperlink" xfId="881" builtinId="9" hidden="1"/>
    <cellStyle name="Followed Hyperlink" xfId="885" builtinId="9" hidden="1"/>
    <cellStyle name="Followed Hyperlink" xfId="889" builtinId="9" hidden="1"/>
    <cellStyle name="Followed Hyperlink" xfId="893" builtinId="9" hidden="1"/>
    <cellStyle name="Followed Hyperlink" xfId="897" builtinId="9" hidden="1"/>
    <cellStyle name="Followed Hyperlink" xfId="901" builtinId="9" hidden="1"/>
    <cellStyle name="Followed Hyperlink" xfId="905" builtinId="9" hidden="1"/>
    <cellStyle name="Followed Hyperlink" xfId="909" builtinId="9" hidden="1"/>
    <cellStyle name="Followed Hyperlink" xfId="913" builtinId="9" hidden="1"/>
    <cellStyle name="Followed Hyperlink" xfId="917" builtinId="9" hidden="1"/>
    <cellStyle name="Followed Hyperlink" xfId="921" builtinId="9" hidden="1"/>
    <cellStyle name="Followed Hyperlink" xfId="925" builtinId="9" hidden="1"/>
    <cellStyle name="Followed Hyperlink" xfId="929" builtinId="9" hidden="1"/>
    <cellStyle name="Followed Hyperlink" xfId="933" builtinId="9" hidden="1"/>
    <cellStyle name="Followed Hyperlink" xfId="937" builtinId="9" hidden="1"/>
    <cellStyle name="Followed Hyperlink" xfId="941" builtinId="9" hidden="1"/>
    <cellStyle name="Followed Hyperlink" xfId="945" builtinId="9" hidden="1"/>
    <cellStyle name="Followed Hyperlink" xfId="949" builtinId="9" hidden="1"/>
    <cellStyle name="Followed Hyperlink" xfId="953" builtinId="9" hidden="1"/>
    <cellStyle name="Followed Hyperlink" xfId="957" builtinId="9" hidden="1"/>
    <cellStyle name="Followed Hyperlink" xfId="961" builtinId="9" hidden="1"/>
    <cellStyle name="Followed Hyperlink" xfId="965" builtinId="9" hidden="1"/>
    <cellStyle name="Followed Hyperlink" xfId="969" builtinId="9" hidden="1"/>
    <cellStyle name="Followed Hyperlink" xfId="973" builtinId="9" hidden="1"/>
    <cellStyle name="Followed Hyperlink" xfId="977" builtinId="9" hidden="1"/>
    <cellStyle name="Followed Hyperlink" xfId="981" builtinId="9" hidden="1"/>
    <cellStyle name="Followed Hyperlink" xfId="985" builtinId="9" hidden="1"/>
    <cellStyle name="Followed Hyperlink" xfId="989" builtinId="9" hidden="1"/>
    <cellStyle name="Followed Hyperlink" xfId="993" builtinId="9" hidden="1"/>
    <cellStyle name="Followed Hyperlink" xfId="997" builtinId="9" hidden="1"/>
    <cellStyle name="Followed Hyperlink" xfId="1001" builtinId="9" hidden="1"/>
    <cellStyle name="Followed Hyperlink" xfId="1005" builtinId="9" hidden="1"/>
    <cellStyle name="Followed Hyperlink" xfId="1009" builtinId="9" hidden="1"/>
    <cellStyle name="Followed Hyperlink" xfId="1013" builtinId="9" hidden="1"/>
    <cellStyle name="Followed Hyperlink" xfId="1017" builtinId="9" hidden="1"/>
    <cellStyle name="Followed Hyperlink" xfId="1021" builtinId="9" hidden="1"/>
    <cellStyle name="Followed Hyperlink" xfId="1025" builtinId="9" hidden="1"/>
    <cellStyle name="Followed Hyperlink" xfId="1029" builtinId="9" hidden="1"/>
    <cellStyle name="Followed Hyperlink" xfId="1033" builtinId="9" hidden="1"/>
    <cellStyle name="Followed Hyperlink" xfId="1037" builtinId="9" hidden="1"/>
    <cellStyle name="Followed Hyperlink" xfId="1042" builtinId="9" hidden="1"/>
    <cellStyle name="Followed Hyperlink" xfId="1046" builtinId="9" hidden="1"/>
    <cellStyle name="Followed Hyperlink" xfId="1050" builtinId="9" hidden="1"/>
    <cellStyle name="Followed Hyperlink" xfId="1054" builtinId="9" hidden="1"/>
    <cellStyle name="Followed Hyperlink" xfId="1058" builtinId="9" hidden="1"/>
    <cellStyle name="Followed Hyperlink" xfId="1062" builtinId="9" hidden="1"/>
    <cellStyle name="Followed Hyperlink" xfId="1066" builtinId="9" hidden="1"/>
    <cellStyle name="Followed Hyperlink" xfId="1070" builtinId="9" hidden="1"/>
    <cellStyle name="Followed Hyperlink" xfId="1074" builtinId="9" hidden="1"/>
    <cellStyle name="Followed Hyperlink" xfId="1078" builtinId="9" hidden="1"/>
    <cellStyle name="Followed Hyperlink" xfId="1082" builtinId="9" hidden="1"/>
    <cellStyle name="Followed Hyperlink" xfId="1086" builtinId="9" hidden="1"/>
    <cellStyle name="Followed Hyperlink" xfId="1090" builtinId="9" hidden="1"/>
    <cellStyle name="Followed Hyperlink" xfId="1094" builtinId="9" hidden="1"/>
    <cellStyle name="Followed Hyperlink" xfId="1098" builtinId="9" hidden="1"/>
    <cellStyle name="Followed Hyperlink" xfId="1102" builtinId="9" hidden="1"/>
    <cellStyle name="Followed Hyperlink" xfId="1106" builtinId="9" hidden="1"/>
    <cellStyle name="Followed Hyperlink" xfId="1110" builtinId="9" hidden="1"/>
    <cellStyle name="Followed Hyperlink" xfId="1114" builtinId="9" hidden="1"/>
    <cellStyle name="Followed Hyperlink" xfId="1118" builtinId="9" hidden="1"/>
    <cellStyle name="Followed Hyperlink" xfId="1122" builtinId="9" hidden="1"/>
    <cellStyle name="Followed Hyperlink" xfId="1126" builtinId="9" hidden="1"/>
    <cellStyle name="Followed Hyperlink" xfId="1130" builtinId="9" hidden="1"/>
    <cellStyle name="Followed Hyperlink" xfId="1134" builtinId="9" hidden="1"/>
    <cellStyle name="Followed Hyperlink" xfId="1138" builtinId="9" hidden="1"/>
    <cellStyle name="Followed Hyperlink" xfId="1142" builtinId="9" hidden="1"/>
    <cellStyle name="Followed Hyperlink" xfId="1146" builtinId="9" hidden="1"/>
    <cellStyle name="Followed Hyperlink" xfId="1150" builtinId="9" hidden="1"/>
    <cellStyle name="Followed Hyperlink" xfId="1154" builtinId="9" hidden="1"/>
    <cellStyle name="Followed Hyperlink" xfId="1158" builtinId="9" hidden="1"/>
    <cellStyle name="Followed Hyperlink" xfId="1162" builtinId="9" hidden="1"/>
    <cellStyle name="Followed Hyperlink" xfId="1166" builtinId="9" hidden="1"/>
    <cellStyle name="Followed Hyperlink" xfId="1170" builtinId="9" hidden="1"/>
    <cellStyle name="Followed Hyperlink" xfId="1174" builtinId="9" hidden="1"/>
    <cellStyle name="Followed Hyperlink" xfId="1178" builtinId="9" hidden="1"/>
    <cellStyle name="Followed Hyperlink" xfId="1182" builtinId="9" hidden="1"/>
    <cellStyle name="Followed Hyperlink" xfId="1186" builtinId="9" hidden="1"/>
    <cellStyle name="Followed Hyperlink" xfId="1190" builtinId="9" hidden="1"/>
    <cellStyle name="Followed Hyperlink" xfId="1194" builtinId="9" hidden="1"/>
    <cellStyle name="Followed Hyperlink" xfId="1198" builtinId="9" hidden="1"/>
    <cellStyle name="Followed Hyperlink" xfId="1202" builtinId="9" hidden="1"/>
    <cellStyle name="Followed Hyperlink" xfId="1206" builtinId="9" hidden="1"/>
    <cellStyle name="Followed Hyperlink" xfId="1210" builtinId="9" hidden="1"/>
    <cellStyle name="Followed Hyperlink" xfId="1214" builtinId="9" hidden="1"/>
    <cellStyle name="Followed Hyperlink" xfId="1218" builtinId="9" hidden="1"/>
    <cellStyle name="Followed Hyperlink" xfId="1222" builtinId="9" hidden="1"/>
    <cellStyle name="Followed Hyperlink" xfId="1226" builtinId="9" hidden="1"/>
    <cellStyle name="Followed Hyperlink" xfId="1230" builtinId="9" hidden="1"/>
    <cellStyle name="Followed Hyperlink" xfId="1234" builtinId="9" hidden="1"/>
    <cellStyle name="Followed Hyperlink" xfId="1238" builtinId="9" hidden="1"/>
    <cellStyle name="Followed Hyperlink" xfId="1240" builtinId="9" hidden="1"/>
    <cellStyle name="Followed Hyperlink" xfId="1236" builtinId="9" hidden="1"/>
    <cellStyle name="Followed Hyperlink" xfId="1232" builtinId="9" hidden="1"/>
    <cellStyle name="Followed Hyperlink" xfId="1228" builtinId="9" hidden="1"/>
    <cellStyle name="Followed Hyperlink" xfId="1224" builtinId="9" hidden="1"/>
    <cellStyle name="Followed Hyperlink" xfId="1220" builtinId="9" hidden="1"/>
    <cellStyle name="Followed Hyperlink" xfId="1216" builtinId="9" hidden="1"/>
    <cellStyle name="Followed Hyperlink" xfId="1212" builtinId="9" hidden="1"/>
    <cellStyle name="Followed Hyperlink" xfId="1208" builtinId="9" hidden="1"/>
    <cellStyle name="Followed Hyperlink" xfId="1204" builtinId="9" hidden="1"/>
    <cellStyle name="Followed Hyperlink" xfId="1200" builtinId="9" hidden="1"/>
    <cellStyle name="Followed Hyperlink" xfId="1196" builtinId="9" hidden="1"/>
    <cellStyle name="Followed Hyperlink" xfId="1192" builtinId="9" hidden="1"/>
    <cellStyle name="Followed Hyperlink" xfId="1188" builtinId="9" hidden="1"/>
    <cellStyle name="Followed Hyperlink" xfId="1184" builtinId="9" hidden="1"/>
    <cellStyle name="Followed Hyperlink" xfId="1180" builtinId="9" hidden="1"/>
    <cellStyle name="Followed Hyperlink" xfId="1176" builtinId="9" hidden="1"/>
    <cellStyle name="Followed Hyperlink" xfId="1172" builtinId="9" hidden="1"/>
    <cellStyle name="Followed Hyperlink" xfId="1168" builtinId="9" hidden="1"/>
    <cellStyle name="Followed Hyperlink" xfId="1164" builtinId="9" hidden="1"/>
    <cellStyle name="Followed Hyperlink" xfId="1160" builtinId="9" hidden="1"/>
    <cellStyle name="Followed Hyperlink" xfId="1156" builtinId="9" hidden="1"/>
    <cellStyle name="Followed Hyperlink" xfId="1152" builtinId="9" hidden="1"/>
    <cellStyle name="Followed Hyperlink" xfId="1148" builtinId="9" hidden="1"/>
    <cellStyle name="Followed Hyperlink" xfId="1144" builtinId="9" hidden="1"/>
    <cellStyle name="Followed Hyperlink" xfId="1140" builtinId="9" hidden="1"/>
    <cellStyle name="Followed Hyperlink" xfId="1136" builtinId="9" hidden="1"/>
    <cellStyle name="Followed Hyperlink" xfId="1132" builtinId="9" hidden="1"/>
    <cellStyle name="Followed Hyperlink" xfId="1128" builtinId="9" hidden="1"/>
    <cellStyle name="Followed Hyperlink" xfId="1124" builtinId="9" hidden="1"/>
    <cellStyle name="Followed Hyperlink" xfId="1120" builtinId="9" hidden="1"/>
    <cellStyle name="Followed Hyperlink" xfId="1116" builtinId="9" hidden="1"/>
    <cellStyle name="Followed Hyperlink" xfId="1112" builtinId="9" hidden="1"/>
    <cellStyle name="Followed Hyperlink" xfId="1108" builtinId="9" hidden="1"/>
    <cellStyle name="Followed Hyperlink" xfId="1104" builtinId="9" hidden="1"/>
    <cellStyle name="Followed Hyperlink" xfId="1100" builtinId="9" hidden="1"/>
    <cellStyle name="Followed Hyperlink" xfId="1096" builtinId="9" hidden="1"/>
    <cellStyle name="Followed Hyperlink" xfId="1092" builtinId="9" hidden="1"/>
    <cellStyle name="Followed Hyperlink" xfId="1088" builtinId="9" hidden="1"/>
    <cellStyle name="Followed Hyperlink" xfId="1084" builtinId="9" hidden="1"/>
    <cellStyle name="Followed Hyperlink" xfId="1080" builtinId="9" hidden="1"/>
    <cellStyle name="Followed Hyperlink" xfId="1076" builtinId="9" hidden="1"/>
    <cellStyle name="Followed Hyperlink" xfId="1072" builtinId="9" hidden="1"/>
    <cellStyle name="Followed Hyperlink" xfId="1068" builtinId="9" hidden="1"/>
    <cellStyle name="Followed Hyperlink" xfId="1064" builtinId="9" hidden="1"/>
    <cellStyle name="Followed Hyperlink" xfId="1060" builtinId="9" hidden="1"/>
    <cellStyle name="Followed Hyperlink" xfId="1056" builtinId="9" hidden="1"/>
    <cellStyle name="Followed Hyperlink" xfId="1052" builtinId="9" hidden="1"/>
    <cellStyle name="Followed Hyperlink" xfId="1048" builtinId="9" hidden="1"/>
    <cellStyle name="Followed Hyperlink" xfId="1044" builtinId="9" hidden="1"/>
    <cellStyle name="Followed Hyperlink" xfId="1040" builtinId="9" hidden="1"/>
    <cellStyle name="Followed Hyperlink" xfId="1035" builtinId="9" hidden="1"/>
    <cellStyle name="Followed Hyperlink" xfId="1031" builtinId="9" hidden="1"/>
    <cellStyle name="Followed Hyperlink" xfId="1027" builtinId="9" hidden="1"/>
    <cellStyle name="Followed Hyperlink" xfId="1023" builtinId="9" hidden="1"/>
    <cellStyle name="Followed Hyperlink" xfId="1019" builtinId="9" hidden="1"/>
    <cellStyle name="Followed Hyperlink" xfId="1015" builtinId="9" hidden="1"/>
    <cellStyle name="Followed Hyperlink" xfId="1011" builtinId="9" hidden="1"/>
    <cellStyle name="Followed Hyperlink" xfId="1007" builtinId="9" hidden="1"/>
    <cellStyle name="Followed Hyperlink" xfId="1003" builtinId="9" hidden="1"/>
    <cellStyle name="Followed Hyperlink" xfId="999" builtinId="9" hidden="1"/>
    <cellStyle name="Followed Hyperlink" xfId="995" builtinId="9" hidden="1"/>
    <cellStyle name="Followed Hyperlink" xfId="991" builtinId="9" hidden="1"/>
    <cellStyle name="Followed Hyperlink" xfId="987" builtinId="9" hidden="1"/>
    <cellStyle name="Followed Hyperlink" xfId="983" builtinId="9" hidden="1"/>
    <cellStyle name="Followed Hyperlink" xfId="979" builtinId="9" hidden="1"/>
    <cellStyle name="Followed Hyperlink" xfId="975" builtinId="9" hidden="1"/>
    <cellStyle name="Followed Hyperlink" xfId="971" builtinId="9" hidden="1"/>
    <cellStyle name="Followed Hyperlink" xfId="967" builtinId="9" hidden="1"/>
    <cellStyle name="Followed Hyperlink" xfId="963" builtinId="9" hidden="1"/>
    <cellStyle name="Followed Hyperlink" xfId="959" builtinId="9" hidden="1"/>
    <cellStyle name="Followed Hyperlink" xfId="955" builtinId="9" hidden="1"/>
    <cellStyle name="Followed Hyperlink" xfId="951" builtinId="9" hidden="1"/>
    <cellStyle name="Followed Hyperlink" xfId="947" builtinId="9" hidden="1"/>
    <cellStyle name="Followed Hyperlink" xfId="943" builtinId="9" hidden="1"/>
    <cellStyle name="Followed Hyperlink" xfId="939" builtinId="9" hidden="1"/>
    <cellStyle name="Followed Hyperlink" xfId="935" builtinId="9" hidden="1"/>
    <cellStyle name="Followed Hyperlink" xfId="931" builtinId="9" hidden="1"/>
    <cellStyle name="Followed Hyperlink" xfId="927" builtinId="9" hidden="1"/>
    <cellStyle name="Followed Hyperlink" xfId="923" builtinId="9" hidden="1"/>
    <cellStyle name="Followed Hyperlink" xfId="919" builtinId="9" hidden="1"/>
    <cellStyle name="Followed Hyperlink" xfId="915" builtinId="9" hidden="1"/>
    <cellStyle name="Followed Hyperlink" xfId="911" builtinId="9" hidden="1"/>
    <cellStyle name="Followed Hyperlink" xfId="907" builtinId="9" hidden="1"/>
    <cellStyle name="Followed Hyperlink" xfId="903" builtinId="9" hidden="1"/>
    <cellStyle name="Followed Hyperlink" xfId="899" builtinId="9" hidden="1"/>
    <cellStyle name="Followed Hyperlink" xfId="895" builtinId="9" hidden="1"/>
    <cellStyle name="Followed Hyperlink" xfId="891" builtinId="9" hidden="1"/>
    <cellStyle name="Followed Hyperlink" xfId="887" builtinId="9" hidden="1"/>
    <cellStyle name="Followed Hyperlink" xfId="883" builtinId="9" hidden="1"/>
    <cellStyle name="Followed Hyperlink" xfId="879" builtinId="9" hidden="1"/>
    <cellStyle name="Followed Hyperlink" xfId="875" builtinId="9" hidden="1"/>
    <cellStyle name="Followed Hyperlink" xfId="871" builtinId="9" hidden="1"/>
    <cellStyle name="Followed Hyperlink" xfId="867" builtinId="9" hidden="1"/>
    <cellStyle name="Followed Hyperlink" xfId="863" builtinId="9" hidden="1"/>
    <cellStyle name="Followed Hyperlink" xfId="859" builtinId="9" hidden="1"/>
    <cellStyle name="Followed Hyperlink" xfId="855" builtinId="9" hidden="1"/>
    <cellStyle name="Followed Hyperlink" xfId="851" builtinId="9" hidden="1"/>
    <cellStyle name="Followed Hyperlink" xfId="847" builtinId="9" hidden="1"/>
    <cellStyle name="Followed Hyperlink" xfId="843" builtinId="9" hidden="1"/>
    <cellStyle name="Followed Hyperlink" xfId="839" builtinId="9" hidden="1"/>
    <cellStyle name="Followed Hyperlink" xfId="835" builtinId="9" hidden="1"/>
    <cellStyle name="Followed Hyperlink" xfId="831" builtinId="9" hidden="1"/>
    <cellStyle name="Followed Hyperlink" xfId="827" builtinId="9" hidden="1"/>
    <cellStyle name="Followed Hyperlink" xfId="823" builtinId="9" hidden="1"/>
    <cellStyle name="Followed Hyperlink" xfId="819" builtinId="9" hidden="1"/>
    <cellStyle name="Followed Hyperlink" xfId="815" builtinId="9" hidden="1"/>
    <cellStyle name="Followed Hyperlink" xfId="811" builtinId="9" hidden="1"/>
    <cellStyle name="Followed Hyperlink" xfId="807" builtinId="9" hidden="1"/>
    <cellStyle name="Followed Hyperlink" xfId="803" builtinId="9" hidden="1"/>
    <cellStyle name="Followed Hyperlink" xfId="799" builtinId="9" hidden="1"/>
    <cellStyle name="Followed Hyperlink" xfId="795" builtinId="9" hidden="1"/>
    <cellStyle name="Followed Hyperlink" xfId="791" builtinId="9" hidden="1"/>
    <cellStyle name="Followed Hyperlink" xfId="787" builtinId="9" hidden="1"/>
    <cellStyle name="Followed Hyperlink" xfId="783" builtinId="9" hidden="1"/>
    <cellStyle name="Followed Hyperlink" xfId="779" builtinId="9" hidden="1"/>
    <cellStyle name="Followed Hyperlink" xfId="775" builtinId="9" hidden="1"/>
    <cellStyle name="Followed Hyperlink" xfId="771" builtinId="9" hidden="1"/>
    <cellStyle name="Followed Hyperlink" xfId="767" builtinId="9" hidden="1"/>
    <cellStyle name="Followed Hyperlink" xfId="763" builtinId="9" hidden="1"/>
    <cellStyle name="Followed Hyperlink" xfId="759" builtinId="9" hidden="1"/>
    <cellStyle name="Followed Hyperlink" xfId="755" builtinId="9" hidden="1"/>
    <cellStyle name="Followed Hyperlink" xfId="751" builtinId="9" hidden="1"/>
    <cellStyle name="Followed Hyperlink" xfId="747" builtinId="9" hidden="1"/>
    <cellStyle name="Followed Hyperlink" xfId="743" builtinId="9" hidden="1"/>
    <cellStyle name="Followed Hyperlink" xfId="739" builtinId="9" hidden="1"/>
    <cellStyle name="Followed Hyperlink" xfId="735" builtinId="9" hidden="1"/>
    <cellStyle name="Followed Hyperlink" xfId="731" builtinId="9" hidden="1"/>
    <cellStyle name="Followed Hyperlink" xfId="727" builtinId="9" hidden="1"/>
    <cellStyle name="Followed Hyperlink" xfId="723" builtinId="9" hidden="1"/>
    <cellStyle name="Followed Hyperlink" xfId="719" builtinId="9" hidden="1"/>
    <cellStyle name="Followed Hyperlink" xfId="715" builtinId="9" hidden="1"/>
    <cellStyle name="Followed Hyperlink" xfId="711" builtinId="9" hidden="1"/>
    <cellStyle name="Followed Hyperlink" xfId="707" builtinId="9" hidden="1"/>
    <cellStyle name="Followed Hyperlink" xfId="703" builtinId="9" hidden="1"/>
    <cellStyle name="Followed Hyperlink" xfId="699" builtinId="9" hidden="1"/>
    <cellStyle name="Followed Hyperlink" xfId="695" builtinId="9" hidden="1"/>
    <cellStyle name="Followed Hyperlink" xfId="691" builtinId="9" hidden="1"/>
    <cellStyle name="Followed Hyperlink" xfId="687" builtinId="9" hidden="1"/>
    <cellStyle name="Followed Hyperlink" xfId="683" builtinId="9" hidden="1"/>
    <cellStyle name="Followed Hyperlink" xfId="679" builtinId="9" hidden="1"/>
    <cellStyle name="Followed Hyperlink" xfId="675" builtinId="9" hidden="1"/>
    <cellStyle name="Followed Hyperlink" xfId="671" builtinId="9" hidden="1"/>
    <cellStyle name="Followed Hyperlink" xfId="667" builtinId="9" hidden="1"/>
    <cellStyle name="Followed Hyperlink" xfId="663" builtinId="9" hidden="1"/>
    <cellStyle name="Followed Hyperlink" xfId="659" builtinId="9" hidden="1"/>
    <cellStyle name="Followed Hyperlink" xfId="655" builtinId="9" hidden="1"/>
    <cellStyle name="Followed Hyperlink" xfId="651" builtinId="9" hidden="1"/>
    <cellStyle name="Followed Hyperlink" xfId="647" builtinId="9" hidden="1"/>
    <cellStyle name="Followed Hyperlink" xfId="643" builtinId="9" hidden="1"/>
    <cellStyle name="Followed Hyperlink" xfId="639" builtinId="9" hidden="1"/>
    <cellStyle name="Followed Hyperlink" xfId="635" builtinId="9" hidden="1"/>
    <cellStyle name="Followed Hyperlink" xfId="631" builtinId="9" hidden="1"/>
    <cellStyle name="Followed Hyperlink" xfId="627" builtinId="9" hidden="1"/>
    <cellStyle name="Followed Hyperlink" xfId="623" builtinId="9" hidden="1"/>
    <cellStyle name="Followed Hyperlink" xfId="619" builtinId="9" hidden="1"/>
    <cellStyle name="Followed Hyperlink" xfId="615" builtinId="9" hidden="1"/>
    <cellStyle name="Followed Hyperlink" xfId="611" builtinId="9" hidden="1"/>
    <cellStyle name="Followed Hyperlink" xfId="607" builtinId="9" hidden="1"/>
    <cellStyle name="Followed Hyperlink" xfId="603" builtinId="9" hidden="1"/>
    <cellStyle name="Followed Hyperlink" xfId="599" builtinId="9" hidden="1"/>
    <cellStyle name="Followed Hyperlink" xfId="595" builtinId="9" hidden="1"/>
    <cellStyle name="Followed Hyperlink" xfId="591" builtinId="9" hidden="1"/>
    <cellStyle name="Followed Hyperlink" xfId="587" builtinId="9" hidden="1"/>
    <cellStyle name="Followed Hyperlink" xfId="583" builtinId="9" hidden="1"/>
    <cellStyle name="Followed Hyperlink" xfId="579" builtinId="9" hidden="1"/>
    <cellStyle name="Followed Hyperlink" xfId="575" builtinId="9" hidden="1"/>
    <cellStyle name="Followed Hyperlink" xfId="571" builtinId="9" hidden="1"/>
    <cellStyle name="Followed Hyperlink" xfId="567" builtinId="9" hidden="1"/>
    <cellStyle name="Followed Hyperlink" xfId="563" builtinId="9" hidden="1"/>
    <cellStyle name="Followed Hyperlink" xfId="559" builtinId="9" hidden="1"/>
    <cellStyle name="Followed Hyperlink" xfId="555" builtinId="9" hidden="1"/>
    <cellStyle name="Followed Hyperlink" xfId="551" builtinId="9" hidden="1"/>
    <cellStyle name="Followed Hyperlink" xfId="547" builtinId="9" hidden="1"/>
    <cellStyle name="Followed Hyperlink" xfId="543" builtinId="9" hidden="1"/>
    <cellStyle name="Followed Hyperlink" xfId="539" builtinId="9" hidden="1"/>
    <cellStyle name="Followed Hyperlink" xfId="535" builtinId="9" hidden="1"/>
    <cellStyle name="Followed Hyperlink" xfId="531" builtinId="9" hidden="1"/>
    <cellStyle name="Followed Hyperlink" xfId="527" builtinId="9" hidden="1"/>
    <cellStyle name="Followed Hyperlink" xfId="523" builtinId="9" hidden="1"/>
    <cellStyle name="Followed Hyperlink" xfId="519" builtinId="9" hidden="1"/>
    <cellStyle name="Followed Hyperlink" xfId="515" builtinId="9" hidden="1"/>
    <cellStyle name="Followed Hyperlink" xfId="511" builtinId="9" hidden="1"/>
    <cellStyle name="Followed Hyperlink" xfId="507" builtinId="9" hidden="1"/>
    <cellStyle name="Followed Hyperlink" xfId="503"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51" builtinId="9" hidden="1"/>
    <cellStyle name="Followed Hyperlink" xfId="447" builtinId="9" hidden="1"/>
    <cellStyle name="Followed Hyperlink" xfId="443" builtinId="9" hidden="1"/>
    <cellStyle name="Followed Hyperlink" xfId="439" builtinId="9" hidden="1"/>
    <cellStyle name="Followed Hyperlink" xfId="435" builtinId="9" hidden="1"/>
    <cellStyle name="Followed Hyperlink" xfId="431" builtinId="9" hidden="1"/>
    <cellStyle name="Followed Hyperlink" xfId="427" builtinId="9" hidden="1"/>
    <cellStyle name="Followed Hyperlink" xfId="423" builtinId="9" hidden="1"/>
    <cellStyle name="Followed Hyperlink" xfId="419" builtinId="9" hidden="1"/>
    <cellStyle name="Followed Hyperlink" xfId="415" builtinId="9" hidden="1"/>
    <cellStyle name="Followed Hyperlink" xfId="411" builtinId="9" hidden="1"/>
    <cellStyle name="Followed Hyperlink" xfId="407" builtinId="9" hidden="1"/>
    <cellStyle name="Followed Hyperlink" xfId="403" builtinId="9" hidden="1"/>
    <cellStyle name="Followed Hyperlink" xfId="399" builtinId="9" hidden="1"/>
    <cellStyle name="Followed Hyperlink" xfId="395" builtinId="9" hidden="1"/>
    <cellStyle name="Followed Hyperlink" xfId="391"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0" builtinId="9" hidden="1"/>
    <cellStyle name="Followed Hyperlink" xfId="166" builtinId="9" hidden="1"/>
    <cellStyle name="Followed Hyperlink" xfId="162" builtinId="9" hidden="1"/>
    <cellStyle name="Followed Hyperlink" xfId="158" builtinId="9" hidden="1"/>
    <cellStyle name="Followed Hyperlink" xfId="154" builtinId="9" hidden="1"/>
    <cellStyle name="Followed Hyperlink" xfId="150" builtinId="9" hidden="1"/>
    <cellStyle name="Followed Hyperlink" xfId="146" builtinId="9" hidden="1"/>
    <cellStyle name="Followed Hyperlink" xfId="142" builtinId="9" hidden="1"/>
    <cellStyle name="Followed Hyperlink" xfId="138" builtinId="9" hidden="1"/>
    <cellStyle name="Followed Hyperlink" xfId="134" builtinId="9" hidden="1"/>
    <cellStyle name="Followed Hyperlink" xfId="130" builtinId="9" hidden="1"/>
    <cellStyle name="Followed Hyperlink" xfId="126" builtinId="9" hidden="1"/>
    <cellStyle name="Followed Hyperlink" xfId="122" builtinId="9" hidden="1"/>
    <cellStyle name="Followed Hyperlink" xfId="118" builtinId="9" hidden="1"/>
    <cellStyle name="Followed Hyperlink" xfId="114" builtinId="9" hidden="1"/>
    <cellStyle name="Followed Hyperlink" xfId="110" builtinId="9" hidden="1"/>
    <cellStyle name="Followed Hyperlink" xfId="106" builtinId="9" hidden="1"/>
    <cellStyle name="Followed Hyperlink" xfId="102" builtinId="9" hidden="1"/>
    <cellStyle name="Followed Hyperlink" xfId="98" builtinId="9" hidden="1"/>
    <cellStyle name="Followed Hyperlink" xfId="94" builtinId="9" hidden="1"/>
    <cellStyle name="Followed Hyperlink" xfId="90" builtinId="9" hidden="1"/>
    <cellStyle name="Followed Hyperlink" xfId="86" builtinId="9" hidden="1"/>
    <cellStyle name="Followed Hyperlink" xfId="82" builtinId="9" hidden="1"/>
    <cellStyle name="Followed Hyperlink" xfId="78" builtinId="9" hidden="1"/>
    <cellStyle name="Followed Hyperlink" xfId="74" builtinId="9" hidden="1"/>
    <cellStyle name="Followed Hyperlink" xfId="70" builtinId="9" hidden="1"/>
    <cellStyle name="Followed Hyperlink" xfId="66" builtinId="9" hidden="1"/>
    <cellStyle name="Followed Hyperlink" xfId="24" builtinId="9" hidden="1"/>
    <cellStyle name="Followed Hyperlink" xfId="26" builtinId="9" hidden="1"/>
    <cellStyle name="Followed Hyperlink" xfId="28" builtinId="9" hidden="1"/>
    <cellStyle name="Followed Hyperlink" xfId="32" builtinId="9" hidden="1"/>
    <cellStyle name="Followed Hyperlink" xfId="34" builtinId="9" hidden="1"/>
    <cellStyle name="Followed Hyperlink" xfId="36" builtinId="9" hidden="1"/>
    <cellStyle name="Followed Hyperlink" xfId="40" builtinId="9" hidden="1"/>
    <cellStyle name="Followed Hyperlink" xfId="42" builtinId="9" hidden="1"/>
    <cellStyle name="Followed Hyperlink" xfId="44" builtinId="9" hidden="1"/>
    <cellStyle name="Followed Hyperlink" xfId="48" builtinId="9" hidden="1"/>
    <cellStyle name="Followed Hyperlink" xfId="50" builtinId="9" hidden="1"/>
    <cellStyle name="Followed Hyperlink" xfId="52" builtinId="9" hidden="1"/>
    <cellStyle name="Followed Hyperlink" xfId="56" builtinId="9" hidden="1"/>
    <cellStyle name="Followed Hyperlink" xfId="58" builtinId="9" hidden="1"/>
    <cellStyle name="Followed Hyperlink" xfId="60" builtinId="9" hidden="1"/>
    <cellStyle name="Followed Hyperlink" xfId="64" builtinId="9" hidden="1"/>
    <cellStyle name="Followed Hyperlink" xfId="62" builtinId="9" hidden="1"/>
    <cellStyle name="Followed Hyperlink" xfId="54" builtinId="9" hidden="1"/>
    <cellStyle name="Followed Hyperlink" xfId="46" builtinId="9" hidden="1"/>
    <cellStyle name="Followed Hyperlink" xfId="38" builtinId="9" hidden="1"/>
    <cellStyle name="Followed Hyperlink" xfId="30" builtinId="9" hidden="1"/>
    <cellStyle name="Followed Hyperlink" xfId="22" builtinId="9" hidden="1"/>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500" builtinId="8" hidden="1"/>
    <cellStyle name="Hyperlink" xfId="504" builtinId="8" hidden="1"/>
    <cellStyle name="Hyperlink" xfId="506" builtinId="8" hidden="1"/>
    <cellStyle name="Hyperlink" xfId="508" builtinId="8" hidden="1"/>
    <cellStyle name="Hyperlink" xfId="512" builtinId="8" hidden="1"/>
    <cellStyle name="Hyperlink" xfId="514" builtinId="8" hidden="1"/>
    <cellStyle name="Hyperlink" xfId="516" builtinId="8" hidden="1"/>
    <cellStyle name="Hyperlink" xfId="520" builtinId="8" hidden="1"/>
    <cellStyle name="Hyperlink" xfId="522" builtinId="8" hidden="1"/>
    <cellStyle name="Hyperlink" xfId="524" builtinId="8" hidden="1"/>
    <cellStyle name="Hyperlink" xfId="528" builtinId="8" hidden="1"/>
    <cellStyle name="Hyperlink" xfId="530" builtinId="8" hidden="1"/>
    <cellStyle name="Hyperlink" xfId="532" builtinId="8" hidden="1"/>
    <cellStyle name="Hyperlink" xfId="536" builtinId="8" hidden="1"/>
    <cellStyle name="Hyperlink" xfId="538" builtinId="8" hidden="1"/>
    <cellStyle name="Hyperlink" xfId="540" builtinId="8" hidden="1"/>
    <cellStyle name="Hyperlink" xfId="544" builtinId="8" hidden="1"/>
    <cellStyle name="Hyperlink" xfId="546" builtinId="8" hidden="1"/>
    <cellStyle name="Hyperlink" xfId="548" builtinId="8" hidden="1"/>
    <cellStyle name="Hyperlink" xfId="552" builtinId="8" hidden="1"/>
    <cellStyle name="Hyperlink" xfId="554" builtinId="8" hidden="1"/>
    <cellStyle name="Hyperlink" xfId="556" builtinId="8" hidden="1"/>
    <cellStyle name="Hyperlink" xfId="560" builtinId="8" hidden="1"/>
    <cellStyle name="Hyperlink" xfId="562" builtinId="8" hidden="1"/>
    <cellStyle name="Hyperlink" xfId="564" builtinId="8" hidden="1"/>
    <cellStyle name="Hyperlink" xfId="568" builtinId="8" hidden="1"/>
    <cellStyle name="Hyperlink" xfId="570" builtinId="8" hidden="1"/>
    <cellStyle name="Hyperlink" xfId="572" builtinId="8" hidden="1"/>
    <cellStyle name="Hyperlink" xfId="576" builtinId="8" hidden="1"/>
    <cellStyle name="Hyperlink" xfId="578" builtinId="8" hidden="1"/>
    <cellStyle name="Hyperlink" xfId="580" builtinId="8" hidden="1"/>
    <cellStyle name="Hyperlink" xfId="584" builtinId="8" hidden="1"/>
    <cellStyle name="Hyperlink" xfId="586" builtinId="8" hidden="1"/>
    <cellStyle name="Hyperlink" xfId="588" builtinId="8" hidden="1"/>
    <cellStyle name="Hyperlink" xfId="592" builtinId="8" hidden="1"/>
    <cellStyle name="Hyperlink" xfId="594" builtinId="8" hidden="1"/>
    <cellStyle name="Hyperlink" xfId="596" builtinId="8" hidden="1"/>
    <cellStyle name="Hyperlink" xfId="600" builtinId="8" hidden="1"/>
    <cellStyle name="Hyperlink" xfId="602" builtinId="8" hidden="1"/>
    <cellStyle name="Hyperlink" xfId="604" builtinId="8" hidden="1"/>
    <cellStyle name="Hyperlink" xfId="608" builtinId="8" hidden="1"/>
    <cellStyle name="Hyperlink" xfId="610" builtinId="8" hidden="1"/>
    <cellStyle name="Hyperlink" xfId="612" builtinId="8" hidden="1"/>
    <cellStyle name="Hyperlink" xfId="616" builtinId="8" hidden="1"/>
    <cellStyle name="Hyperlink" xfId="618" builtinId="8" hidden="1"/>
    <cellStyle name="Hyperlink" xfId="620" builtinId="8" hidden="1"/>
    <cellStyle name="Hyperlink" xfId="624" builtinId="8" hidden="1"/>
    <cellStyle name="Hyperlink" xfId="626" builtinId="8" hidden="1"/>
    <cellStyle name="Hyperlink" xfId="628" builtinId="8" hidden="1"/>
    <cellStyle name="Hyperlink" xfId="632" builtinId="8" hidden="1"/>
    <cellStyle name="Hyperlink" xfId="634" builtinId="8" hidden="1"/>
    <cellStyle name="Hyperlink" xfId="636" builtinId="8" hidden="1"/>
    <cellStyle name="Hyperlink" xfId="640" builtinId="8" hidden="1"/>
    <cellStyle name="Hyperlink" xfId="642" builtinId="8" hidden="1"/>
    <cellStyle name="Hyperlink" xfId="644" builtinId="8" hidden="1"/>
    <cellStyle name="Hyperlink" xfId="648" builtinId="8" hidden="1"/>
    <cellStyle name="Hyperlink" xfId="650" builtinId="8" hidden="1"/>
    <cellStyle name="Hyperlink" xfId="652" builtinId="8" hidden="1"/>
    <cellStyle name="Hyperlink" xfId="656" builtinId="8" hidden="1"/>
    <cellStyle name="Hyperlink" xfId="658" builtinId="8" hidden="1"/>
    <cellStyle name="Hyperlink" xfId="660" builtinId="8" hidden="1"/>
    <cellStyle name="Hyperlink" xfId="664" builtinId="8" hidden="1"/>
    <cellStyle name="Hyperlink" xfId="666" builtinId="8" hidden="1"/>
    <cellStyle name="Hyperlink" xfId="668" builtinId="8" hidden="1"/>
    <cellStyle name="Hyperlink" xfId="672" builtinId="8" hidden="1"/>
    <cellStyle name="Hyperlink" xfId="674" builtinId="8" hidden="1"/>
    <cellStyle name="Hyperlink" xfId="676" builtinId="8" hidden="1"/>
    <cellStyle name="Hyperlink" xfId="680" builtinId="8" hidden="1"/>
    <cellStyle name="Hyperlink" xfId="682" builtinId="8" hidden="1"/>
    <cellStyle name="Hyperlink" xfId="684" builtinId="8" hidden="1"/>
    <cellStyle name="Hyperlink" xfId="688" builtinId="8" hidden="1"/>
    <cellStyle name="Hyperlink" xfId="690" builtinId="8" hidden="1"/>
    <cellStyle name="Hyperlink" xfId="692" builtinId="8" hidden="1"/>
    <cellStyle name="Hyperlink" xfId="696" builtinId="8" hidden="1"/>
    <cellStyle name="Hyperlink" xfId="698" builtinId="8" hidden="1"/>
    <cellStyle name="Hyperlink" xfId="700" builtinId="8" hidden="1"/>
    <cellStyle name="Hyperlink" xfId="704" builtinId="8" hidden="1"/>
    <cellStyle name="Hyperlink" xfId="706" builtinId="8" hidden="1"/>
    <cellStyle name="Hyperlink" xfId="708" builtinId="8" hidden="1"/>
    <cellStyle name="Hyperlink" xfId="712" builtinId="8" hidden="1"/>
    <cellStyle name="Hyperlink" xfId="714" builtinId="8" hidden="1"/>
    <cellStyle name="Hyperlink" xfId="716" builtinId="8" hidden="1"/>
    <cellStyle name="Hyperlink" xfId="720" builtinId="8" hidden="1"/>
    <cellStyle name="Hyperlink" xfId="722" builtinId="8" hidden="1"/>
    <cellStyle name="Hyperlink" xfId="724" builtinId="8" hidden="1"/>
    <cellStyle name="Hyperlink" xfId="728" builtinId="8" hidden="1"/>
    <cellStyle name="Hyperlink" xfId="730" builtinId="8" hidden="1"/>
    <cellStyle name="Hyperlink" xfId="732" builtinId="8" hidden="1"/>
    <cellStyle name="Hyperlink" xfId="736" builtinId="8" hidden="1"/>
    <cellStyle name="Hyperlink" xfId="738" builtinId="8" hidden="1"/>
    <cellStyle name="Hyperlink" xfId="740" builtinId="8" hidden="1"/>
    <cellStyle name="Hyperlink" xfId="744" builtinId="8" hidden="1"/>
    <cellStyle name="Hyperlink" xfId="746" builtinId="8" hidden="1"/>
    <cellStyle name="Hyperlink" xfId="748" builtinId="8" hidden="1"/>
    <cellStyle name="Hyperlink" xfId="752" builtinId="8" hidden="1"/>
    <cellStyle name="Hyperlink" xfId="754" builtinId="8" hidden="1"/>
    <cellStyle name="Hyperlink" xfId="756" builtinId="8" hidden="1"/>
    <cellStyle name="Hyperlink" xfId="760" builtinId="8" hidden="1"/>
    <cellStyle name="Hyperlink" xfId="762" builtinId="8" hidden="1"/>
    <cellStyle name="Hyperlink" xfId="764" builtinId="8" hidden="1"/>
    <cellStyle name="Hyperlink" xfId="768" builtinId="8" hidden="1"/>
    <cellStyle name="Hyperlink" xfId="770" builtinId="8" hidden="1"/>
    <cellStyle name="Hyperlink" xfId="772" builtinId="8" hidden="1"/>
    <cellStyle name="Hyperlink" xfId="776" builtinId="8" hidden="1"/>
    <cellStyle name="Hyperlink" xfId="778" builtinId="8" hidden="1"/>
    <cellStyle name="Hyperlink" xfId="780" builtinId="8" hidden="1"/>
    <cellStyle name="Hyperlink" xfId="784" builtinId="8" hidden="1"/>
    <cellStyle name="Hyperlink" xfId="786" builtinId="8" hidden="1"/>
    <cellStyle name="Hyperlink" xfId="788" builtinId="8" hidden="1"/>
    <cellStyle name="Hyperlink" xfId="792" builtinId="8" hidden="1"/>
    <cellStyle name="Hyperlink" xfId="794" builtinId="8" hidden="1"/>
    <cellStyle name="Hyperlink" xfId="796" builtinId="8" hidden="1"/>
    <cellStyle name="Hyperlink" xfId="800" builtinId="8" hidden="1"/>
    <cellStyle name="Hyperlink" xfId="802" builtinId="8" hidden="1"/>
    <cellStyle name="Hyperlink" xfId="804" builtinId="8" hidden="1"/>
    <cellStyle name="Hyperlink" xfId="808" builtinId="8" hidden="1"/>
    <cellStyle name="Hyperlink" xfId="810" builtinId="8" hidden="1"/>
    <cellStyle name="Hyperlink" xfId="812" builtinId="8" hidden="1"/>
    <cellStyle name="Hyperlink" xfId="816" builtinId="8" hidden="1"/>
    <cellStyle name="Hyperlink" xfId="818" builtinId="8" hidden="1"/>
    <cellStyle name="Hyperlink" xfId="820" builtinId="8" hidden="1"/>
    <cellStyle name="Hyperlink" xfId="824" builtinId="8" hidden="1"/>
    <cellStyle name="Hyperlink" xfId="826" builtinId="8" hidden="1"/>
    <cellStyle name="Hyperlink" xfId="828" builtinId="8" hidden="1"/>
    <cellStyle name="Hyperlink" xfId="832" builtinId="8" hidden="1"/>
    <cellStyle name="Hyperlink" xfId="834" builtinId="8" hidden="1"/>
    <cellStyle name="Hyperlink" xfId="836" builtinId="8" hidden="1"/>
    <cellStyle name="Hyperlink" xfId="840" builtinId="8" hidden="1"/>
    <cellStyle name="Hyperlink" xfId="842" builtinId="8" hidden="1"/>
    <cellStyle name="Hyperlink" xfId="844" builtinId="8" hidden="1"/>
    <cellStyle name="Hyperlink" xfId="848" builtinId="8" hidden="1"/>
    <cellStyle name="Hyperlink" xfId="850" builtinId="8" hidden="1"/>
    <cellStyle name="Hyperlink" xfId="852" builtinId="8" hidden="1"/>
    <cellStyle name="Hyperlink" xfId="856" builtinId="8" hidden="1"/>
    <cellStyle name="Hyperlink" xfId="858" builtinId="8" hidden="1"/>
    <cellStyle name="Hyperlink" xfId="860" builtinId="8" hidden="1"/>
    <cellStyle name="Hyperlink" xfId="864" builtinId="8" hidden="1"/>
    <cellStyle name="Hyperlink" xfId="866" builtinId="8" hidden="1"/>
    <cellStyle name="Hyperlink" xfId="868" builtinId="8" hidden="1"/>
    <cellStyle name="Hyperlink" xfId="872" builtinId="8" hidden="1"/>
    <cellStyle name="Hyperlink" xfId="874" builtinId="8" hidden="1"/>
    <cellStyle name="Hyperlink" xfId="876" builtinId="8" hidden="1"/>
    <cellStyle name="Hyperlink" xfId="880" builtinId="8" hidden="1"/>
    <cellStyle name="Hyperlink" xfId="882" builtinId="8" hidden="1"/>
    <cellStyle name="Hyperlink" xfId="884" builtinId="8" hidden="1"/>
    <cellStyle name="Hyperlink" xfId="888" builtinId="8" hidden="1"/>
    <cellStyle name="Hyperlink" xfId="890" builtinId="8" hidden="1"/>
    <cellStyle name="Hyperlink" xfId="892" builtinId="8" hidden="1"/>
    <cellStyle name="Hyperlink" xfId="896" builtinId="8" hidden="1"/>
    <cellStyle name="Hyperlink" xfId="898" builtinId="8" hidden="1"/>
    <cellStyle name="Hyperlink" xfId="900" builtinId="8" hidden="1"/>
    <cellStyle name="Hyperlink" xfId="904" builtinId="8" hidden="1"/>
    <cellStyle name="Hyperlink" xfId="906" builtinId="8" hidden="1"/>
    <cellStyle name="Hyperlink" xfId="908" builtinId="8" hidden="1"/>
    <cellStyle name="Hyperlink" xfId="912" builtinId="8" hidden="1"/>
    <cellStyle name="Hyperlink" xfId="914" builtinId="8" hidden="1"/>
    <cellStyle name="Hyperlink" xfId="916" builtinId="8" hidden="1"/>
    <cellStyle name="Hyperlink" xfId="920" builtinId="8" hidden="1"/>
    <cellStyle name="Hyperlink" xfId="922" builtinId="8" hidden="1"/>
    <cellStyle name="Hyperlink" xfId="924" builtinId="8" hidden="1"/>
    <cellStyle name="Hyperlink" xfId="928" builtinId="8" hidden="1"/>
    <cellStyle name="Hyperlink" xfId="930" builtinId="8" hidden="1"/>
    <cellStyle name="Hyperlink" xfId="932" builtinId="8" hidden="1"/>
    <cellStyle name="Hyperlink" xfId="936" builtinId="8" hidden="1"/>
    <cellStyle name="Hyperlink" xfId="938" builtinId="8" hidden="1"/>
    <cellStyle name="Hyperlink" xfId="940" builtinId="8" hidden="1"/>
    <cellStyle name="Hyperlink" xfId="944" builtinId="8" hidden="1"/>
    <cellStyle name="Hyperlink" xfId="946" builtinId="8" hidden="1"/>
    <cellStyle name="Hyperlink" xfId="948" builtinId="8" hidden="1"/>
    <cellStyle name="Hyperlink" xfId="952" builtinId="8" hidden="1"/>
    <cellStyle name="Hyperlink" xfId="954" builtinId="8" hidden="1"/>
    <cellStyle name="Hyperlink" xfId="956" builtinId="8" hidden="1"/>
    <cellStyle name="Hyperlink" xfId="960" builtinId="8" hidden="1"/>
    <cellStyle name="Hyperlink" xfId="962" builtinId="8" hidden="1"/>
    <cellStyle name="Hyperlink" xfId="964" builtinId="8" hidden="1"/>
    <cellStyle name="Hyperlink" xfId="968" builtinId="8" hidden="1"/>
    <cellStyle name="Hyperlink" xfId="970" builtinId="8" hidden="1"/>
    <cellStyle name="Hyperlink" xfId="972" builtinId="8" hidden="1"/>
    <cellStyle name="Hyperlink" xfId="976" builtinId="8" hidden="1"/>
    <cellStyle name="Hyperlink" xfId="978" builtinId="8" hidden="1"/>
    <cellStyle name="Hyperlink" xfId="980" builtinId="8" hidden="1"/>
    <cellStyle name="Hyperlink" xfId="984" builtinId="8" hidden="1"/>
    <cellStyle name="Hyperlink" xfId="986" builtinId="8" hidden="1"/>
    <cellStyle name="Hyperlink" xfId="988" builtinId="8" hidden="1"/>
    <cellStyle name="Hyperlink" xfId="992" builtinId="8" hidden="1"/>
    <cellStyle name="Hyperlink" xfId="994" builtinId="8" hidden="1"/>
    <cellStyle name="Hyperlink" xfId="996" builtinId="8" hidden="1"/>
    <cellStyle name="Hyperlink" xfId="1000" builtinId="8" hidden="1"/>
    <cellStyle name="Hyperlink" xfId="1002" builtinId="8" hidden="1"/>
    <cellStyle name="Hyperlink" xfId="1004" builtinId="8" hidden="1"/>
    <cellStyle name="Hyperlink" xfId="1008" builtinId="8" hidden="1"/>
    <cellStyle name="Hyperlink" xfId="1010" builtinId="8" hidden="1"/>
    <cellStyle name="Hyperlink" xfId="1012" builtinId="8" hidden="1"/>
    <cellStyle name="Hyperlink" xfId="1016" builtinId="8" hidden="1"/>
    <cellStyle name="Hyperlink" xfId="1018" builtinId="8" hidden="1"/>
    <cellStyle name="Hyperlink" xfId="1020" builtinId="8" hidden="1"/>
    <cellStyle name="Hyperlink" xfId="1024" builtinId="8" hidden="1"/>
    <cellStyle name="Hyperlink" xfId="1026" builtinId="8" hidden="1"/>
    <cellStyle name="Hyperlink" xfId="1028" builtinId="8" hidden="1"/>
    <cellStyle name="Hyperlink" xfId="1032" builtinId="8" hidden="1"/>
    <cellStyle name="Hyperlink" xfId="1034" builtinId="8" hidden="1"/>
    <cellStyle name="Hyperlink" xfId="1036" builtinId="8" hidden="1"/>
    <cellStyle name="Hyperlink" xfId="1041" builtinId="8" hidden="1"/>
    <cellStyle name="Hyperlink" xfId="1043" builtinId="8" hidden="1"/>
    <cellStyle name="Hyperlink" xfId="1045" builtinId="8" hidden="1"/>
    <cellStyle name="Hyperlink" xfId="1049" builtinId="8" hidden="1"/>
    <cellStyle name="Hyperlink" xfId="1051" builtinId="8" hidden="1"/>
    <cellStyle name="Hyperlink" xfId="1053" builtinId="8" hidden="1"/>
    <cellStyle name="Hyperlink" xfId="1057" builtinId="8" hidden="1"/>
    <cellStyle name="Hyperlink" xfId="1059" builtinId="8" hidden="1"/>
    <cellStyle name="Hyperlink" xfId="1061" builtinId="8" hidden="1"/>
    <cellStyle name="Hyperlink" xfId="1065" builtinId="8" hidden="1"/>
    <cellStyle name="Hyperlink" xfId="1067" builtinId="8" hidden="1"/>
    <cellStyle name="Hyperlink" xfId="1069" builtinId="8" hidden="1"/>
    <cellStyle name="Hyperlink" xfId="1073" builtinId="8" hidden="1"/>
    <cellStyle name="Hyperlink" xfId="1075" builtinId="8" hidden="1"/>
    <cellStyle name="Hyperlink" xfId="1077" builtinId="8" hidden="1"/>
    <cellStyle name="Hyperlink" xfId="1081" builtinId="8" hidden="1"/>
    <cellStyle name="Hyperlink" xfId="1083" builtinId="8" hidden="1"/>
    <cellStyle name="Hyperlink" xfId="1085" builtinId="8" hidden="1"/>
    <cellStyle name="Hyperlink" xfId="1089" builtinId="8" hidden="1"/>
    <cellStyle name="Hyperlink" xfId="1091" builtinId="8" hidden="1"/>
    <cellStyle name="Hyperlink" xfId="1093" builtinId="8" hidden="1"/>
    <cellStyle name="Hyperlink" xfId="1097" builtinId="8" hidden="1"/>
    <cellStyle name="Hyperlink" xfId="1099" builtinId="8" hidden="1"/>
    <cellStyle name="Hyperlink" xfId="1101" builtinId="8" hidden="1"/>
    <cellStyle name="Hyperlink" xfId="1105" builtinId="8" hidden="1"/>
    <cellStyle name="Hyperlink" xfId="1107" builtinId="8" hidden="1"/>
    <cellStyle name="Hyperlink" xfId="1109" builtinId="8" hidden="1"/>
    <cellStyle name="Hyperlink" xfId="1113" builtinId="8" hidden="1"/>
    <cellStyle name="Hyperlink" xfId="1115" builtinId="8" hidden="1"/>
    <cellStyle name="Hyperlink" xfId="1117" builtinId="8" hidden="1"/>
    <cellStyle name="Hyperlink" xfId="1121" builtinId="8" hidden="1"/>
    <cellStyle name="Hyperlink" xfId="1123" builtinId="8" hidden="1"/>
    <cellStyle name="Hyperlink" xfId="1125" builtinId="8" hidden="1"/>
    <cellStyle name="Hyperlink" xfId="1129" builtinId="8" hidden="1"/>
    <cellStyle name="Hyperlink" xfId="1131" builtinId="8" hidden="1"/>
    <cellStyle name="Hyperlink" xfId="1133" builtinId="8" hidden="1"/>
    <cellStyle name="Hyperlink" xfId="1137" builtinId="8" hidden="1"/>
    <cellStyle name="Hyperlink" xfId="1139" builtinId="8" hidden="1"/>
    <cellStyle name="Hyperlink" xfId="1141" builtinId="8" hidden="1"/>
    <cellStyle name="Hyperlink" xfId="1145" builtinId="8" hidden="1"/>
    <cellStyle name="Hyperlink" xfId="1147" builtinId="8" hidden="1"/>
    <cellStyle name="Hyperlink" xfId="1149" builtinId="8" hidden="1"/>
    <cellStyle name="Hyperlink" xfId="1153" builtinId="8" hidden="1"/>
    <cellStyle name="Hyperlink" xfId="1155" builtinId="8" hidden="1"/>
    <cellStyle name="Hyperlink" xfId="1157" builtinId="8" hidden="1"/>
    <cellStyle name="Hyperlink" xfId="1161" builtinId="8" hidden="1"/>
    <cellStyle name="Hyperlink" xfId="1163" builtinId="8" hidden="1"/>
    <cellStyle name="Hyperlink" xfId="1165" builtinId="8" hidden="1"/>
    <cellStyle name="Hyperlink" xfId="1169" builtinId="8" hidden="1"/>
    <cellStyle name="Hyperlink" xfId="1171" builtinId="8" hidden="1"/>
    <cellStyle name="Hyperlink" xfId="1173" builtinId="8" hidden="1"/>
    <cellStyle name="Hyperlink" xfId="1177" builtinId="8" hidden="1"/>
    <cellStyle name="Hyperlink" xfId="1179" builtinId="8" hidden="1"/>
    <cellStyle name="Hyperlink" xfId="1181" builtinId="8" hidden="1"/>
    <cellStyle name="Hyperlink" xfId="1185" builtinId="8" hidden="1"/>
    <cellStyle name="Hyperlink" xfId="1187" builtinId="8" hidden="1"/>
    <cellStyle name="Hyperlink" xfId="1189" builtinId="8" hidden="1"/>
    <cellStyle name="Hyperlink" xfId="1193" builtinId="8" hidden="1"/>
    <cellStyle name="Hyperlink" xfId="1195" builtinId="8" hidden="1"/>
    <cellStyle name="Hyperlink" xfId="1197" builtinId="8" hidden="1"/>
    <cellStyle name="Hyperlink" xfId="1201" builtinId="8" hidden="1"/>
    <cellStyle name="Hyperlink" xfId="1203" builtinId="8" hidden="1"/>
    <cellStyle name="Hyperlink" xfId="1205" builtinId="8" hidden="1"/>
    <cellStyle name="Hyperlink" xfId="1209" builtinId="8" hidden="1"/>
    <cellStyle name="Hyperlink" xfId="1211" builtinId="8" hidden="1"/>
    <cellStyle name="Hyperlink" xfId="1213" builtinId="8" hidden="1"/>
    <cellStyle name="Hyperlink" xfId="1217" builtinId="8" hidden="1"/>
    <cellStyle name="Hyperlink" xfId="1219" builtinId="8" hidden="1"/>
    <cellStyle name="Hyperlink" xfId="1221" builtinId="8" hidden="1"/>
    <cellStyle name="Hyperlink" xfId="1225" builtinId="8" hidden="1"/>
    <cellStyle name="Hyperlink" xfId="1227" builtinId="8" hidden="1"/>
    <cellStyle name="Hyperlink" xfId="1229" builtinId="8" hidden="1"/>
    <cellStyle name="Hyperlink" xfId="1233" builtinId="8" hidden="1"/>
    <cellStyle name="Hyperlink" xfId="1235" builtinId="8" hidden="1"/>
    <cellStyle name="Hyperlink" xfId="1237" builtinId="8" hidden="1"/>
    <cellStyle name="Hyperlink" xfId="1239" builtinId="8" hidden="1"/>
    <cellStyle name="Hyperlink" xfId="1231" builtinId="8" hidden="1"/>
    <cellStyle name="Hyperlink" xfId="1223" builtinId="8" hidden="1"/>
    <cellStyle name="Hyperlink" xfId="1215" builtinId="8" hidden="1"/>
    <cellStyle name="Hyperlink" xfId="1207" builtinId="8" hidden="1"/>
    <cellStyle name="Hyperlink" xfId="1199" builtinId="8" hidden="1"/>
    <cellStyle name="Hyperlink" xfId="1191" builtinId="8" hidden="1"/>
    <cellStyle name="Hyperlink" xfId="1183" builtinId="8" hidden="1"/>
    <cellStyle name="Hyperlink" xfId="1175" builtinId="8" hidden="1"/>
    <cellStyle name="Hyperlink" xfId="1167" builtinId="8" hidden="1"/>
    <cellStyle name="Hyperlink" xfId="1159" builtinId="8" hidden="1"/>
    <cellStyle name="Hyperlink" xfId="1151" builtinId="8" hidden="1"/>
    <cellStyle name="Hyperlink" xfId="1143" builtinId="8" hidden="1"/>
    <cellStyle name="Hyperlink" xfId="1135" builtinId="8" hidden="1"/>
    <cellStyle name="Hyperlink" xfId="1127" builtinId="8" hidden="1"/>
    <cellStyle name="Hyperlink" xfId="1119" builtinId="8" hidden="1"/>
    <cellStyle name="Hyperlink" xfId="1111" builtinId="8" hidden="1"/>
    <cellStyle name="Hyperlink" xfId="1103" builtinId="8" hidden="1"/>
    <cellStyle name="Hyperlink" xfId="1095" builtinId="8" hidden="1"/>
    <cellStyle name="Hyperlink" xfId="1087" builtinId="8" hidden="1"/>
    <cellStyle name="Hyperlink" xfId="1079" builtinId="8" hidden="1"/>
    <cellStyle name="Hyperlink" xfId="1071" builtinId="8" hidden="1"/>
    <cellStyle name="Hyperlink" xfId="1063" builtinId="8" hidden="1"/>
    <cellStyle name="Hyperlink" xfId="1055" builtinId="8" hidden="1"/>
    <cellStyle name="Hyperlink" xfId="1047" builtinId="8" hidden="1"/>
    <cellStyle name="Hyperlink" xfId="1039" builtinId="8" hidden="1"/>
    <cellStyle name="Hyperlink" xfId="1030" builtinId="8" hidden="1"/>
    <cellStyle name="Hyperlink" xfId="1022" builtinId="8" hidden="1"/>
    <cellStyle name="Hyperlink" xfId="1014" builtinId="8" hidden="1"/>
    <cellStyle name="Hyperlink" xfId="1006" builtinId="8" hidden="1"/>
    <cellStyle name="Hyperlink" xfId="998" builtinId="8" hidden="1"/>
    <cellStyle name="Hyperlink" xfId="990" builtinId="8" hidden="1"/>
    <cellStyle name="Hyperlink" xfId="982" builtinId="8" hidden="1"/>
    <cellStyle name="Hyperlink" xfId="974" builtinId="8" hidden="1"/>
    <cellStyle name="Hyperlink" xfId="966" builtinId="8" hidden="1"/>
    <cellStyle name="Hyperlink" xfId="958" builtinId="8" hidden="1"/>
    <cellStyle name="Hyperlink" xfId="950" builtinId="8" hidden="1"/>
    <cellStyle name="Hyperlink" xfId="942" builtinId="8" hidden="1"/>
    <cellStyle name="Hyperlink" xfId="934" builtinId="8" hidden="1"/>
    <cellStyle name="Hyperlink" xfId="926" builtinId="8" hidden="1"/>
    <cellStyle name="Hyperlink" xfId="918" builtinId="8" hidden="1"/>
    <cellStyle name="Hyperlink" xfId="910" builtinId="8" hidden="1"/>
    <cellStyle name="Hyperlink" xfId="902" builtinId="8" hidden="1"/>
    <cellStyle name="Hyperlink" xfId="894" builtinId="8" hidden="1"/>
    <cellStyle name="Hyperlink" xfId="886" builtinId="8" hidden="1"/>
    <cellStyle name="Hyperlink" xfId="878" builtinId="8" hidden="1"/>
    <cellStyle name="Hyperlink" xfId="870" builtinId="8" hidden="1"/>
    <cellStyle name="Hyperlink" xfId="862" builtinId="8" hidden="1"/>
    <cellStyle name="Hyperlink" xfId="854" builtinId="8" hidden="1"/>
    <cellStyle name="Hyperlink" xfId="846" builtinId="8" hidden="1"/>
    <cellStyle name="Hyperlink" xfId="838" builtinId="8" hidden="1"/>
    <cellStyle name="Hyperlink" xfId="830" builtinId="8" hidden="1"/>
    <cellStyle name="Hyperlink" xfId="822" builtinId="8" hidden="1"/>
    <cellStyle name="Hyperlink" xfId="814" builtinId="8" hidden="1"/>
    <cellStyle name="Hyperlink" xfId="806" builtinId="8" hidden="1"/>
    <cellStyle name="Hyperlink" xfId="798" builtinId="8" hidden="1"/>
    <cellStyle name="Hyperlink" xfId="790" builtinId="8" hidden="1"/>
    <cellStyle name="Hyperlink" xfId="782" builtinId="8" hidden="1"/>
    <cellStyle name="Hyperlink" xfId="774" builtinId="8" hidden="1"/>
    <cellStyle name="Hyperlink" xfId="766" builtinId="8" hidden="1"/>
    <cellStyle name="Hyperlink" xfId="758" builtinId="8" hidden="1"/>
    <cellStyle name="Hyperlink" xfId="750" builtinId="8" hidden="1"/>
    <cellStyle name="Hyperlink" xfId="742" builtinId="8" hidden="1"/>
    <cellStyle name="Hyperlink" xfId="734" builtinId="8" hidden="1"/>
    <cellStyle name="Hyperlink" xfId="726" builtinId="8" hidden="1"/>
    <cellStyle name="Hyperlink" xfId="718" builtinId="8" hidden="1"/>
    <cellStyle name="Hyperlink" xfId="710" builtinId="8" hidden="1"/>
    <cellStyle name="Hyperlink" xfId="702" builtinId="8" hidden="1"/>
    <cellStyle name="Hyperlink" xfId="694" builtinId="8" hidden="1"/>
    <cellStyle name="Hyperlink" xfId="686" builtinId="8" hidden="1"/>
    <cellStyle name="Hyperlink" xfId="678" builtinId="8" hidden="1"/>
    <cellStyle name="Hyperlink" xfId="670" builtinId="8" hidden="1"/>
    <cellStyle name="Hyperlink" xfId="662" builtinId="8" hidden="1"/>
    <cellStyle name="Hyperlink" xfId="654" builtinId="8" hidden="1"/>
    <cellStyle name="Hyperlink" xfId="646" builtinId="8" hidden="1"/>
    <cellStyle name="Hyperlink" xfId="638" builtinId="8" hidden="1"/>
    <cellStyle name="Hyperlink" xfId="630" builtinId="8" hidden="1"/>
    <cellStyle name="Hyperlink" xfId="622" builtinId="8" hidden="1"/>
    <cellStyle name="Hyperlink" xfId="614" builtinId="8" hidden="1"/>
    <cellStyle name="Hyperlink" xfId="606" builtinId="8" hidden="1"/>
    <cellStyle name="Hyperlink" xfId="598" builtinId="8" hidden="1"/>
    <cellStyle name="Hyperlink" xfId="590" builtinId="8" hidden="1"/>
    <cellStyle name="Hyperlink" xfId="582" builtinId="8" hidden="1"/>
    <cellStyle name="Hyperlink" xfId="574" builtinId="8" hidden="1"/>
    <cellStyle name="Hyperlink" xfId="566" builtinId="8" hidden="1"/>
    <cellStyle name="Hyperlink" xfId="558" builtinId="8" hidden="1"/>
    <cellStyle name="Hyperlink" xfId="550" builtinId="8" hidden="1"/>
    <cellStyle name="Hyperlink" xfId="542" builtinId="8" hidden="1"/>
    <cellStyle name="Hyperlink" xfId="534" builtinId="8" hidden="1"/>
    <cellStyle name="Hyperlink" xfId="526" builtinId="8" hidden="1"/>
    <cellStyle name="Hyperlink" xfId="518" builtinId="8" hidden="1"/>
    <cellStyle name="Hyperlink" xfId="510" builtinId="8" hidden="1"/>
    <cellStyle name="Hyperlink" xfId="502"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30" builtinId="8" hidden="1"/>
    <cellStyle name="Hyperlink" xfId="414" builtinId="8" hidden="1"/>
    <cellStyle name="Hyperlink" xfId="398" builtinId="8" hidden="1"/>
    <cellStyle name="Hyperlink" xfId="382" builtinId="8" hidden="1"/>
    <cellStyle name="Hyperlink" xfId="366" builtinId="8" hidden="1"/>
    <cellStyle name="Hyperlink" xfId="350" builtinId="8" hidden="1"/>
    <cellStyle name="Hyperlink" xfId="334" builtinId="8" hidden="1"/>
    <cellStyle name="Hyperlink" xfId="318" builtinId="8" hidden="1"/>
    <cellStyle name="Hyperlink" xfId="302" builtinId="8" hidden="1"/>
    <cellStyle name="Hyperlink" xfId="286" builtinId="8" hidden="1"/>
    <cellStyle name="Hyperlink" xfId="270" builtinId="8" hidden="1"/>
    <cellStyle name="Hyperlink" xfId="254" builtinId="8" hidden="1"/>
    <cellStyle name="Hyperlink" xfId="238" builtinId="8" hidden="1"/>
    <cellStyle name="Hyperlink" xfId="222" builtinId="8" hidden="1"/>
    <cellStyle name="Hyperlink" xfId="206" builtinId="8" hidden="1"/>
    <cellStyle name="Hyperlink" xfId="190" builtinId="8" hidden="1"/>
    <cellStyle name="Hyperlink" xfId="87" builtinId="8" hidden="1"/>
    <cellStyle name="Hyperlink" xfId="89" builtinId="8" hidden="1"/>
    <cellStyle name="Hyperlink" xfId="91"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57" builtinId="8" hidden="1"/>
    <cellStyle name="Hyperlink" xfId="125" builtinId="8" hidden="1"/>
    <cellStyle name="Hyperlink" xfId="93"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5" builtinId="8" hidden="1"/>
    <cellStyle name="Hyperlink" xfId="7" builtinId="8" hidden="1"/>
    <cellStyle name="Hyperlink" xfId="9" builtinId="8" hidden="1"/>
    <cellStyle name="Hyperlink" xfId="3" builtinId="8" hidden="1"/>
    <cellStyle name="Hyperlink" xfId="1"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emf"/><Relationship Id="rId1" Type="http://schemas.openxmlformats.org/officeDocument/2006/relationships/image" Target="../media/image4.wmf"/><Relationship Id="rId4"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8</xdr:col>
      <xdr:colOff>818299</xdr:colOff>
      <xdr:row>0</xdr:row>
      <xdr:rowOff>0</xdr:rowOff>
    </xdr:from>
    <xdr:to>
      <xdr:col>9</xdr:col>
      <xdr:colOff>2502557</xdr:colOff>
      <xdr:row>8</xdr:row>
      <xdr:rowOff>46186</xdr:rowOff>
    </xdr:to>
    <xdr:pic>
      <xdr:nvPicPr>
        <xdr:cNvPr id="2" name="Picture 1">
          <a:extLst>
            <a:ext uri="{FF2B5EF4-FFF2-40B4-BE49-F238E27FC236}">
              <a16:creationId xmlns:a16="http://schemas.microsoft.com/office/drawing/2014/main" id="{C1D81795-70CE-C745-B0AA-A9F078765A1C}"/>
            </a:ext>
          </a:extLst>
        </xdr:cNvPr>
        <xdr:cNvPicPr>
          <a:picLocks noChangeAspect="1"/>
        </xdr:cNvPicPr>
      </xdr:nvPicPr>
      <xdr:blipFill>
        <a:blip xmlns:r="http://schemas.openxmlformats.org/officeDocument/2006/relationships" r:embed="rId1"/>
        <a:stretch>
          <a:fillRect/>
        </a:stretch>
      </xdr:blipFill>
      <xdr:spPr>
        <a:xfrm>
          <a:off x="8752526" y="0"/>
          <a:ext cx="2574566" cy="16565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213448</xdr:colOff>
      <xdr:row>17</xdr:row>
      <xdr:rowOff>182703</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14</xdr:col>
      <xdr:colOff>0</xdr:colOff>
      <xdr:row>5</xdr:row>
      <xdr:rowOff>0</xdr:rowOff>
    </xdr:from>
    <xdr:to>
      <xdr:col>20</xdr:col>
      <xdr:colOff>752642</xdr:colOff>
      <xdr:row>9</xdr:row>
      <xdr:rowOff>77370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57400" y="965200"/>
          <a:ext cx="57150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9</xdr:col>
      <xdr:colOff>135467</xdr:colOff>
      <xdr:row>10</xdr:row>
      <xdr:rowOff>84667</xdr:rowOff>
    </xdr:from>
    <xdr:to>
      <xdr:col>13</xdr:col>
      <xdr:colOff>50801</xdr:colOff>
      <xdr:row>20</xdr:row>
      <xdr:rowOff>152400</xdr:rowOff>
    </xdr:to>
    <xdr:pic>
      <xdr:nvPicPr>
        <xdr:cNvPr id="4" name="Picture 3" descr="Macintosh HD:Users:slocum:Dropbox (MIT):2.70 2016:Lectures in addition to FUNdaMENTALs:Error budget spreadsheet drawings:tool spindle detail.pdf">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62" t="2892" r="5556" b="8148"/>
        <a:stretch/>
      </xdr:blipFill>
      <xdr:spPr bwMode="auto">
        <a:xfrm>
          <a:off x="11904134" y="1981200"/>
          <a:ext cx="2997200" cy="19304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135466</xdr:colOff>
      <xdr:row>10</xdr:row>
      <xdr:rowOff>67733</xdr:rowOff>
    </xdr:from>
    <xdr:to>
      <xdr:col>11</xdr:col>
      <xdr:colOff>152400</xdr:colOff>
      <xdr:row>21</xdr:row>
      <xdr:rowOff>160866</xdr:rowOff>
    </xdr:to>
    <xdr:pic>
      <xdr:nvPicPr>
        <xdr:cNvPr id="4" name="Picture 3" descr="deflection disgarams and formulas.pdf">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770533" y="1964266"/>
          <a:ext cx="6146800"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169333</xdr:colOff>
      <xdr:row>10</xdr:row>
      <xdr:rowOff>84666</xdr:rowOff>
    </xdr:from>
    <xdr:to>
      <xdr:col>10</xdr:col>
      <xdr:colOff>287866</xdr:colOff>
      <xdr:row>21</xdr:row>
      <xdr:rowOff>177799</xdr:rowOff>
    </xdr:to>
    <xdr:pic>
      <xdr:nvPicPr>
        <xdr:cNvPr id="4" name="Picture 3" descr="deflection disgarams and formulas.pdf">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872133" y="1981199"/>
          <a:ext cx="6146800" cy="2159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1"/>
  <sheetViews>
    <sheetView topLeftCell="A10" zoomScale="198" zoomScaleNormal="198" zoomScalePageLayoutView="200" workbookViewId="0">
      <selection activeCell="E20" sqref="E20"/>
    </sheetView>
  </sheetViews>
  <sheetFormatPr baseColWidth="10" defaultColWidth="11" defaultRowHeight="16"/>
  <cols>
    <col min="2" max="2" width="19" customWidth="1"/>
    <col min="3" max="4" width="12.1640625" customWidth="1"/>
    <col min="5" max="5" width="13.5" customWidth="1"/>
    <col min="6" max="6" width="18.83203125" customWidth="1"/>
    <col min="8" max="8" width="18.6640625" customWidth="1"/>
    <col min="9" max="9" width="11.6640625" customWidth="1"/>
    <col min="10" max="10" width="45.33203125" customWidth="1"/>
    <col min="11" max="11" width="12" customWidth="1"/>
    <col min="12" max="12" width="8.5" customWidth="1"/>
    <col min="13" max="13" width="8.33203125" customWidth="1"/>
    <col min="14" max="14" width="48" customWidth="1"/>
    <col min="15" max="15" width="20.33203125" customWidth="1"/>
    <col min="16" max="16" width="11.1640625" bestFit="1" customWidth="1"/>
    <col min="17" max="17" width="9.5" customWidth="1"/>
    <col min="18" max="18" width="14.5" customWidth="1"/>
  </cols>
  <sheetData>
    <row r="1" spans="1:21">
      <c r="A1" s="336" t="s">
        <v>190</v>
      </c>
      <c r="B1" s="336"/>
      <c r="C1" s="336"/>
      <c r="D1" s="336"/>
      <c r="E1" s="336"/>
      <c r="F1" s="336"/>
      <c r="G1" s="336"/>
      <c r="H1" s="336"/>
    </row>
    <row r="2" spans="1:21">
      <c r="A2" s="336" t="s">
        <v>151</v>
      </c>
      <c r="B2" s="336"/>
      <c r="C2" s="336"/>
      <c r="D2" s="336"/>
      <c r="E2" s="336"/>
      <c r="F2" s="336"/>
      <c r="G2" s="336"/>
      <c r="H2" s="336"/>
    </row>
    <row r="3" spans="1:21" ht="15" customHeight="1">
      <c r="A3" s="336" t="s">
        <v>372</v>
      </c>
      <c r="B3" s="336"/>
      <c r="C3" s="336"/>
      <c r="D3" s="336"/>
      <c r="E3" s="336"/>
      <c r="F3" s="336"/>
      <c r="G3" s="336"/>
      <c r="H3" s="336"/>
      <c r="K3" s="305"/>
      <c r="L3" s="305"/>
      <c r="M3" s="305"/>
      <c r="N3" s="305"/>
      <c r="O3" s="305"/>
      <c r="P3" s="305"/>
    </row>
    <row r="4" spans="1:21">
      <c r="A4" s="336" t="s">
        <v>420</v>
      </c>
      <c r="B4" s="336"/>
      <c r="C4" s="336"/>
      <c r="D4" s="336"/>
      <c r="E4" s="336"/>
      <c r="F4" s="336"/>
      <c r="G4" s="336"/>
      <c r="H4" s="336"/>
      <c r="J4" s="305"/>
      <c r="K4" s="305"/>
      <c r="L4" s="305"/>
      <c r="M4" s="305"/>
      <c r="N4" s="305"/>
      <c r="O4" s="305"/>
      <c r="P4" s="305"/>
    </row>
    <row r="5" spans="1:21">
      <c r="A5" s="45" t="s">
        <v>423</v>
      </c>
      <c r="B5" s="310" t="s">
        <v>422</v>
      </c>
      <c r="C5" s="45" t="s">
        <v>162</v>
      </c>
      <c r="D5" s="45"/>
      <c r="E5" s="74" t="s">
        <v>152</v>
      </c>
      <c r="F5" s="337" t="s">
        <v>153</v>
      </c>
      <c r="G5" s="337"/>
      <c r="H5" s="337"/>
      <c r="J5" s="305"/>
      <c r="K5" s="305"/>
      <c r="L5" s="305"/>
      <c r="M5" s="305"/>
      <c r="N5" s="305"/>
      <c r="O5" s="305"/>
      <c r="P5" s="305"/>
    </row>
    <row r="6" spans="1:21">
      <c r="A6" s="338" t="s">
        <v>156</v>
      </c>
      <c r="B6" s="338"/>
      <c r="C6" s="34" t="s">
        <v>155</v>
      </c>
      <c r="D6" s="34"/>
      <c r="E6" s="1" t="s">
        <v>184</v>
      </c>
      <c r="O6" s="305"/>
      <c r="P6" s="305"/>
    </row>
    <row r="7" spans="1:21">
      <c r="A7" s="338" t="s">
        <v>157</v>
      </c>
      <c r="B7" s="338"/>
      <c r="C7" s="42" t="s">
        <v>158</v>
      </c>
      <c r="D7" s="42"/>
    </row>
    <row r="8" spans="1:21">
      <c r="A8" s="33" t="s">
        <v>161</v>
      </c>
      <c r="B8" s="33"/>
      <c r="C8" s="10"/>
      <c r="D8" s="10"/>
      <c r="P8" s="299"/>
    </row>
    <row r="9" spans="1:21">
      <c r="A9" s="33" t="s">
        <v>161</v>
      </c>
      <c r="B9" s="33"/>
      <c r="C9" s="10"/>
      <c r="D9" s="10"/>
      <c r="P9" s="105"/>
      <c r="U9" s="25"/>
    </row>
    <row r="10" spans="1:21">
      <c r="A10" s="33"/>
      <c r="B10" s="33"/>
      <c r="C10" s="10"/>
      <c r="D10" s="10"/>
      <c r="J10" s="79" t="s">
        <v>441</v>
      </c>
      <c r="K10" s="316" t="s">
        <v>442</v>
      </c>
      <c r="L10" s="84" t="s">
        <v>443</v>
      </c>
      <c r="P10" s="105"/>
    </row>
    <row r="11" spans="1:21" ht="16" customHeight="1" thickBot="1">
      <c r="A11" s="33"/>
      <c r="B11" s="33"/>
      <c r="C11" s="10"/>
      <c r="D11" s="10"/>
      <c r="J11" s="79" t="s">
        <v>444</v>
      </c>
      <c r="K11" s="316">
        <v>5.0000000000000001E-3</v>
      </c>
      <c r="L11" s="84" t="s">
        <v>445</v>
      </c>
      <c r="O11" s="105"/>
      <c r="P11" s="105"/>
    </row>
    <row r="12" spans="1:21" ht="34">
      <c r="A12" s="339" t="s">
        <v>148</v>
      </c>
      <c r="B12" s="342" t="s">
        <v>160</v>
      </c>
      <c r="C12" s="342"/>
      <c r="D12" s="342"/>
      <c r="E12" s="342"/>
      <c r="F12" s="342"/>
      <c r="G12" s="342"/>
      <c r="H12" s="342"/>
      <c r="J12" s="305" t="s">
        <v>397</v>
      </c>
      <c r="K12" s="335" t="s">
        <v>418</v>
      </c>
      <c r="L12" s="335"/>
      <c r="M12" s="335"/>
      <c r="N12" s="305"/>
      <c r="O12" s="298"/>
      <c r="P12" s="298"/>
    </row>
    <row r="13" spans="1:21" ht="15" customHeight="1">
      <c r="A13" s="340"/>
      <c r="B13" s="98" t="s">
        <v>159</v>
      </c>
      <c r="C13" s="329" t="s">
        <v>250</v>
      </c>
      <c r="D13" s="329"/>
      <c r="E13" s="329"/>
      <c r="F13" s="329"/>
      <c r="G13" s="330" t="s">
        <v>145</v>
      </c>
      <c r="K13" t="s">
        <v>42</v>
      </c>
      <c r="L13" t="s">
        <v>43</v>
      </c>
      <c r="M13" t="s">
        <v>44</v>
      </c>
      <c r="N13" t="s">
        <v>392</v>
      </c>
      <c r="O13" s="298"/>
      <c r="P13" s="298"/>
    </row>
    <row r="14" spans="1:21">
      <c r="A14" s="340"/>
      <c r="B14" s="99">
        <f>Naxes</f>
        <v>4</v>
      </c>
      <c r="C14" s="332" t="s">
        <v>103</v>
      </c>
      <c r="D14" s="333"/>
      <c r="E14" s="334"/>
      <c r="F14" s="100" t="s">
        <v>104</v>
      </c>
      <c r="G14" s="330"/>
      <c r="J14" s="6" t="s">
        <v>394</v>
      </c>
      <c r="K14" s="317">
        <v>0</v>
      </c>
      <c r="L14" s="318">
        <v>0</v>
      </c>
      <c r="M14" s="311">
        <f>-200-M22</f>
        <v>-200</v>
      </c>
      <c r="N14" t="s">
        <v>433</v>
      </c>
      <c r="O14" s="298"/>
      <c r="P14" s="298"/>
    </row>
    <row r="15" spans="1:21">
      <c r="A15" s="340"/>
      <c r="B15" s="101"/>
      <c r="C15" s="102" t="s">
        <v>143</v>
      </c>
      <c r="D15" s="102" t="s">
        <v>7</v>
      </c>
      <c r="E15" s="102" t="s">
        <v>146</v>
      </c>
      <c r="F15" s="100" t="s">
        <v>143</v>
      </c>
      <c r="G15" s="100" t="s">
        <v>143</v>
      </c>
      <c r="J15" s="6" t="s">
        <v>393</v>
      </c>
      <c r="K15" s="318">
        <v>-100</v>
      </c>
      <c r="L15" s="317">
        <v>0</v>
      </c>
      <c r="M15" s="317">
        <v>0</v>
      </c>
      <c r="N15" s="303" t="s">
        <v>434</v>
      </c>
      <c r="O15" s="105"/>
      <c r="P15" s="105"/>
    </row>
    <row r="16" spans="1:21">
      <c r="A16" s="340"/>
      <c r="B16" s="103" t="s">
        <v>79</v>
      </c>
      <c r="C16" s="104">
        <f>(C26*$A$27+C33*$A$34+C40*$A$41+C47*$A$48+C54*$A$55+C61*$A$62+C68*$A$69+C75*$A$76+C82*$A$83+C89*$A$90)</f>
        <v>0.18166291402264054</v>
      </c>
      <c r="D16" s="104">
        <f>SQRT((D26*$A$27)^2+(D33*$A$34)^2+(D40*$A$41)^2+(D47*$A$48)^2+(D54*$A$55)^2+(D61*$A$62)^2+(D68*$A$69)^2+(D75*$A$76)^2+(D82*$A$83)^2+(D89*$A$90)^2)</f>
        <v>0.10623435985372774</v>
      </c>
      <c r="E16" s="104">
        <f>(C16+D16)/2</f>
        <v>0.14394863693818413</v>
      </c>
      <c r="F16" s="104">
        <f t="shared" ref="F16:G18" si="0">(E26*$A$27+E33*$A$34+E40*$A$41+E47*$A$48+E54*$A$55+E61*$A$62+E68*$A$69+E75*$A$76+E82*$A$83+E89*$A$90)</f>
        <v>-0.53326384053071951</v>
      </c>
      <c r="G16" s="104">
        <f t="shared" si="0"/>
        <v>9.2944955927953526E-3</v>
      </c>
      <c r="I16" s="13"/>
      <c r="J16" s="6" t="s">
        <v>395</v>
      </c>
      <c r="K16" s="317">
        <v>0</v>
      </c>
      <c r="L16" s="311">
        <f>300+L21</f>
        <v>800</v>
      </c>
      <c r="M16" s="318">
        <v>0</v>
      </c>
      <c r="N16" s="304" t="s">
        <v>435</v>
      </c>
      <c r="O16" s="105"/>
      <c r="P16" s="105"/>
    </row>
    <row r="17" spans="1:21">
      <c r="A17" s="340"/>
      <c r="B17" s="103" t="s">
        <v>106</v>
      </c>
      <c r="C17" s="104">
        <f>(C27*$A$27+C34*$A$34+C41*$A$41+C48*$A$48+C55*$A$55+C62*$A$62+C69*$A$69+C76*$A$76+C83*$A$83+C90*$A$90)</f>
        <v>8.6670554317924225E-2</v>
      </c>
      <c r="D17" s="104">
        <f>SQRT((D27*$A$27)^2+(D34*$A$34)^2+(D41*$A$41)^2+(D48*$A$48)^2+(D55*$A$55)^2+(D62*$A$62)^2+(D69*$A$69)^2+(D76*$A$76)^2+(D83*$A$83)^2+(D90*$A$90)^2)</f>
        <v>3.4961144376338855E-2</v>
      </c>
      <c r="E17" s="104">
        <f>(C17+D17)/2</f>
        <v>6.0815849347131537E-2</v>
      </c>
      <c r="F17" s="104">
        <f t="shared" si="0"/>
        <v>0.36638888991995788</v>
      </c>
      <c r="G17" s="104">
        <f t="shared" si="0"/>
        <v>-1.5189117657870456E-2</v>
      </c>
      <c r="I17" s="13"/>
      <c r="J17" s="6" t="s">
        <v>428</v>
      </c>
      <c r="K17" s="311">
        <f>-150-M22</f>
        <v>-150</v>
      </c>
      <c r="L17" s="318">
        <v>200</v>
      </c>
      <c r="M17" s="318">
        <v>0</v>
      </c>
      <c r="N17" s="303" t="s">
        <v>437</v>
      </c>
      <c r="P17" s="105"/>
    </row>
    <row r="18" spans="1:21">
      <c r="A18" s="340"/>
      <c r="B18" s="103" t="s">
        <v>107</v>
      </c>
      <c r="C18" s="104">
        <f>(C28*$A$27+C35*$A$34+C42*$A$41+C49*$A$48+C56*$A$55+C63*$A$62+C70*$A$69+C77*$A$76+C84*$A$83+C91*$A$90)</f>
        <v>0.17000824774986797</v>
      </c>
      <c r="D18" s="104">
        <f>SQRT((D28*$A$27)^2+(D35*$A$34)^2+(D42*$A$41)^2+(D49*$A$48)^2+(D56*$A$55)^2+(D63*$A$62)^2+(D70*$A$69)^2+(D77*$A$76)^2+(D84*$A$83)^2+(D91*$A$90)^2)</f>
        <v>0.10553583391070834</v>
      </c>
      <c r="E18" s="104">
        <f>(C18+D18)/2</f>
        <v>0.13777204083028816</v>
      </c>
      <c r="F18" s="104">
        <f t="shared" si="0"/>
        <v>0.75011247916452817</v>
      </c>
      <c r="G18" s="104">
        <f t="shared" si="0"/>
        <v>-9.6983133498708823E-2</v>
      </c>
      <c r="I18" s="13"/>
      <c r="J18" s="6" t="s">
        <v>436</v>
      </c>
      <c r="K18" s="319">
        <f>-SUM(K14:K17)</f>
        <v>250</v>
      </c>
      <c r="L18" s="319">
        <f>-SUM(L14:L17)</f>
        <v>-1000</v>
      </c>
      <c r="M18" s="319">
        <f>-SUM(M14:M17)</f>
        <v>200</v>
      </c>
      <c r="N18" s="105" t="s">
        <v>438</v>
      </c>
      <c r="O18" s="105"/>
      <c r="P18" s="105"/>
    </row>
    <row r="19" spans="1:21" ht="17" thickBot="1">
      <c r="A19" s="341"/>
      <c r="B19" s="103" t="s">
        <v>149</v>
      </c>
      <c r="C19" s="104">
        <f>SQRT(C16^2+C17^2+C18^2)</f>
        <v>0.26346917015080534</v>
      </c>
      <c r="D19" s="104">
        <f>SQRT(D16^2+D17^2+D18^2)</f>
        <v>0.15377201653377362</v>
      </c>
      <c r="E19" s="104">
        <f>SQRT(E16^2+E17^2+E18^2)</f>
        <v>0.20832885744110616</v>
      </c>
      <c r="F19" s="104">
        <f>SQRT(F16^2+F17^2+F18^2)</f>
        <v>0.99059571656287027</v>
      </c>
      <c r="G19" s="104">
        <f>SQRT(G16^2+G17^2+G18^2)</f>
        <v>9.860438695503107E-2</v>
      </c>
      <c r="I19" s="13"/>
      <c r="J19" s="314" t="s">
        <v>396</v>
      </c>
      <c r="K19" s="301">
        <f>SUM(K14:K18)</f>
        <v>0</v>
      </c>
      <c r="L19" s="301">
        <f>SUM(L14:L18)</f>
        <v>0</v>
      </c>
      <c r="M19" s="301">
        <f>SUM(M14:M18)</f>
        <v>0</v>
      </c>
      <c r="O19" s="105"/>
      <c r="P19" s="105"/>
    </row>
    <row r="20" spans="1:21">
      <c r="A20" s="25"/>
      <c r="I20" s="13"/>
      <c r="J20" s="302" t="s">
        <v>429</v>
      </c>
      <c r="K20" s="313">
        <v>300</v>
      </c>
      <c r="N20" s="312" t="s">
        <v>385</v>
      </c>
    </row>
    <row r="21" spans="1:21">
      <c r="C21" s="1"/>
      <c r="D21" s="1"/>
      <c r="E21" s="1"/>
      <c r="J21" s="302" t="s">
        <v>430</v>
      </c>
      <c r="K21" s="105"/>
      <c r="L21" s="306">
        <v>500</v>
      </c>
      <c r="N21" s="312" t="s">
        <v>421</v>
      </c>
    </row>
    <row r="22" spans="1:21">
      <c r="D22" s="1"/>
      <c r="E22" s="1"/>
      <c r="J22" s="302" t="s">
        <v>431</v>
      </c>
      <c r="K22" s="105"/>
      <c r="M22" s="306">
        <v>0</v>
      </c>
      <c r="N22" s="312" t="s">
        <v>432</v>
      </c>
    </row>
    <row r="23" spans="1:21">
      <c r="A23" s="22" t="s">
        <v>122</v>
      </c>
      <c r="B23" s="42" t="str">
        <f>'CSs and Loads'!A22</f>
        <v>Z motion carriage where tool tip is POI</v>
      </c>
      <c r="C23" s="336" t="s">
        <v>144</v>
      </c>
      <c r="D23" s="336"/>
      <c r="E23" s="336"/>
      <c r="F23" s="343" t="s">
        <v>145</v>
      </c>
    </row>
    <row r="24" spans="1:21">
      <c r="A24" s="42">
        <v>1</v>
      </c>
      <c r="C24" s="331" t="s">
        <v>103</v>
      </c>
      <c r="D24" s="331"/>
      <c r="E24" s="25" t="s">
        <v>104</v>
      </c>
      <c r="F24" s="343"/>
      <c r="G24" s="33" t="s">
        <v>128</v>
      </c>
      <c r="L24" s="33" t="s">
        <v>129</v>
      </c>
      <c r="Q24" s="33" t="s">
        <v>142</v>
      </c>
    </row>
    <row r="25" spans="1:21">
      <c r="A25" s="22" t="s">
        <v>147</v>
      </c>
      <c r="C25" s="26" t="s">
        <v>143</v>
      </c>
      <c r="D25" s="26" t="s">
        <v>7</v>
      </c>
      <c r="E25" s="25" t="s">
        <v>143</v>
      </c>
      <c r="F25" s="25" t="s">
        <v>143</v>
      </c>
      <c r="H25" t="s">
        <v>83</v>
      </c>
      <c r="I25" s="7" t="s">
        <v>84</v>
      </c>
      <c r="J25" s="25" t="s">
        <v>85</v>
      </c>
      <c r="K25" s="25" t="s">
        <v>86</v>
      </c>
      <c r="M25" t="s">
        <v>83</v>
      </c>
      <c r="N25" s="7" t="s">
        <v>84</v>
      </c>
      <c r="O25" s="25" t="s">
        <v>85</v>
      </c>
      <c r="P25" s="25" t="s">
        <v>86</v>
      </c>
      <c r="R25" t="s">
        <v>83</v>
      </c>
      <c r="S25" s="7" t="s">
        <v>84</v>
      </c>
      <c r="T25" s="25" t="s">
        <v>85</v>
      </c>
      <c r="U25" s="25" t="s">
        <v>86</v>
      </c>
    </row>
    <row r="26" spans="1:21">
      <c r="A26" s="42" t="str">
        <f>IF('CSs and Loads'!A17=1,"yes","no")</f>
        <v>yes</v>
      </c>
      <c r="B26" s="68" t="s">
        <v>79</v>
      </c>
      <c r="C26" s="69">
        <f>H26+I26+J26+K26</f>
        <v>9.9999999479166678E-3</v>
      </c>
      <c r="D26" s="69">
        <f>SQRT(H26^2+I26^2+J26^2+K26^2)</f>
        <v>7.0710677750369976E-3</v>
      </c>
      <c r="E26" s="46">
        <f>M26+N26+O26+P26</f>
        <v>5.2083333479391314E-10</v>
      </c>
      <c r="F26" s="46">
        <f>R26+S26+T26+U26</f>
        <v>0</v>
      </c>
      <c r="G26" s="68" t="s">
        <v>79</v>
      </c>
      <c r="H26" s="47">
        <f>'CSs and Loads'!T15</f>
        <v>5.0000000000000001E-3</v>
      </c>
      <c r="I26" s="47">
        <f>'CSs and Loads'!U15</f>
        <v>0</v>
      </c>
      <c r="J26" s="47">
        <f>'CSs and Loads'!V15</f>
        <v>4.9999999479166668E-3</v>
      </c>
      <c r="K26" s="47">
        <f>'CSs and Loads'!W15</f>
        <v>0</v>
      </c>
      <c r="L26" s="68" t="s">
        <v>79</v>
      </c>
      <c r="M26" s="47">
        <f>'CSs and Loads'!T22</f>
        <v>0.05</v>
      </c>
      <c r="N26" s="47">
        <f>'CSs and Loads'!U22</f>
        <v>0</v>
      </c>
      <c r="O26" s="47">
        <f>'CSs and Loads'!V22</f>
        <v>-4.9999999479166668E-2</v>
      </c>
      <c r="P26" s="47">
        <f>'CSs and Loads'!W22</f>
        <v>0</v>
      </c>
      <c r="Q26" s="68" t="s">
        <v>79</v>
      </c>
      <c r="R26" s="47">
        <f>'CSs and Loads'!Y22</f>
        <v>0</v>
      </c>
      <c r="S26" s="47">
        <f>'CSs and Loads'!Z22</f>
        <v>0</v>
      </c>
      <c r="T26" s="47">
        <f>'CSs and Loads'!AA22</f>
        <v>0</v>
      </c>
      <c r="U26" s="47">
        <f>'CSs and Loads'!AB22</f>
        <v>0</v>
      </c>
    </row>
    <row r="27" spans="1:21">
      <c r="A27" s="42">
        <f>'CSs and Loads'!A17</f>
        <v>1</v>
      </c>
      <c r="B27" s="68" t="s">
        <v>106</v>
      </c>
      <c r="C27" s="69">
        <f t="shared" ref="C27:C28" si="1">H27+I27+J27+K27</f>
        <v>9.9999999479166678E-3</v>
      </c>
      <c r="D27" s="69">
        <f t="shared" ref="D27:D28" si="2">SQRT(H27^2+I27^2+J27^2+K27^2)</f>
        <v>7.0710677750369976E-3</v>
      </c>
      <c r="E27" s="46">
        <f t="shared" ref="E27:E28" si="3">M27+N27+O27+P27</f>
        <v>9.9999999479166671E-2</v>
      </c>
      <c r="F27" s="46">
        <f t="shared" ref="F27:F28" si="4">R27+S27+T27+U27</f>
        <v>0</v>
      </c>
      <c r="G27" s="68" t="s">
        <v>106</v>
      </c>
      <c r="H27" s="47">
        <f>'CSs and Loads'!T16</f>
        <v>5.0000000000000001E-3</v>
      </c>
      <c r="I27" s="47">
        <f>'CSs and Loads'!U16</f>
        <v>4.9999999479166668E-3</v>
      </c>
      <c r="J27" s="47">
        <f>'CSs and Loads'!V16</f>
        <v>0</v>
      </c>
      <c r="K27" s="47">
        <f>'CSs and Loads'!W16</f>
        <v>0</v>
      </c>
      <c r="L27" s="68" t="s">
        <v>106</v>
      </c>
      <c r="M27" s="47">
        <f>'CSs and Loads'!T23</f>
        <v>0.05</v>
      </c>
      <c r="N27" s="47">
        <f>'CSs and Loads'!U23</f>
        <v>4.9999999479166668E-2</v>
      </c>
      <c r="O27" s="47">
        <f>'CSs and Loads'!V23</f>
        <v>0</v>
      </c>
      <c r="P27" s="47">
        <f>'CSs and Loads'!W23</f>
        <v>0</v>
      </c>
      <c r="Q27" s="68" t="s">
        <v>106</v>
      </c>
      <c r="R27" s="47">
        <f>'CSs and Loads'!Y23</f>
        <v>0</v>
      </c>
      <c r="S27" s="47">
        <f>'CSs and Loads'!Z23</f>
        <v>0</v>
      </c>
      <c r="T27" s="47">
        <f>'CSs and Loads'!AA23</f>
        <v>0</v>
      </c>
      <c r="U27" s="47">
        <f>'CSs and Loads'!AB23</f>
        <v>0</v>
      </c>
    </row>
    <row r="28" spans="1:21" s="50" customFormat="1" ht="17" thickBot="1">
      <c r="B28" s="70" t="s">
        <v>107</v>
      </c>
      <c r="C28" s="71">
        <f t="shared" si="1"/>
        <v>5.0012499999911595E-3</v>
      </c>
      <c r="D28" s="71">
        <f t="shared" si="2"/>
        <v>5.0000000781249988E-3</v>
      </c>
      <c r="E28" s="72">
        <f t="shared" si="3"/>
        <v>5.00124999999116E-2</v>
      </c>
      <c r="F28" s="72">
        <f t="shared" si="4"/>
        <v>-4.6460200954459769E-4</v>
      </c>
      <c r="G28" s="70" t="s">
        <v>107</v>
      </c>
      <c r="H28" s="73">
        <f>'CSs and Loads'!T17</f>
        <v>5.0000000000000001E-3</v>
      </c>
      <c r="I28" s="73">
        <f>'CSs and Loads'!U17</f>
        <v>6.2499999557985581E-7</v>
      </c>
      <c r="J28" s="73">
        <f>'CSs and Loads'!V17</f>
        <v>6.2499999557985581E-7</v>
      </c>
      <c r="K28" s="73">
        <f>'CSs and Loads'!W17</f>
        <v>0</v>
      </c>
      <c r="L28" s="70" t="s">
        <v>107</v>
      </c>
      <c r="M28" s="73">
        <f>'CSs and Loads'!T24</f>
        <v>0.05</v>
      </c>
      <c r="N28" s="73">
        <f>'CSs and Loads'!U24</f>
        <v>6.2499999557985575E-6</v>
      </c>
      <c r="O28" s="73">
        <f>'CSs and Loads'!V24</f>
        <v>6.2499999557985575E-6</v>
      </c>
      <c r="P28" s="73">
        <f>'CSs and Loads'!W24</f>
        <v>0</v>
      </c>
      <c r="Q28" s="70" t="s">
        <v>107</v>
      </c>
      <c r="R28" s="73">
        <f>'CSs and Loads'!Y24</f>
        <v>-4.6460200954459769E-4</v>
      </c>
      <c r="S28" s="73">
        <f>'CSs and Loads'!Z24</f>
        <v>0</v>
      </c>
      <c r="T28" s="73">
        <f>'CSs and Loads'!AA24</f>
        <v>0</v>
      </c>
      <c r="U28" s="73">
        <f>'CSs and Loads'!AB24</f>
        <v>0</v>
      </c>
    </row>
    <row r="29" spans="1:21">
      <c r="B29" s="6"/>
      <c r="C29" s="21"/>
      <c r="D29" s="21"/>
      <c r="E29" s="21"/>
      <c r="G29" s="6"/>
      <c r="L29" s="6"/>
      <c r="Q29" s="6"/>
    </row>
    <row r="30" spans="1:21">
      <c r="A30" s="22" t="s">
        <v>122</v>
      </c>
      <c r="B30" s="9" t="str">
        <f>'CSs and Loads'!A55</f>
        <v>Y-axis carriage</v>
      </c>
      <c r="C30" s="336" t="s">
        <v>144</v>
      </c>
      <c r="D30" s="336"/>
      <c r="E30" s="336"/>
      <c r="F30" s="343" t="s">
        <v>145</v>
      </c>
    </row>
    <row r="31" spans="1:21">
      <c r="A31" s="42">
        <f>A24+1</f>
        <v>2</v>
      </c>
      <c r="C31" s="331" t="s">
        <v>103</v>
      </c>
      <c r="D31" s="331"/>
      <c r="E31" s="25" t="s">
        <v>104</v>
      </c>
      <c r="F31" s="343"/>
      <c r="G31" s="33" t="s">
        <v>128</v>
      </c>
      <c r="L31" s="33" t="s">
        <v>129</v>
      </c>
      <c r="Q31" s="33" t="s">
        <v>142</v>
      </c>
    </row>
    <row r="32" spans="1:21">
      <c r="A32" s="22" t="s">
        <v>147</v>
      </c>
      <c r="C32" s="26" t="s">
        <v>143</v>
      </c>
      <c r="D32" s="26" t="s">
        <v>7</v>
      </c>
      <c r="E32" s="25" t="s">
        <v>143</v>
      </c>
      <c r="F32" s="25" t="s">
        <v>143</v>
      </c>
      <c r="H32" t="s">
        <v>83</v>
      </c>
      <c r="I32" s="7" t="s">
        <v>84</v>
      </c>
      <c r="J32" s="25" t="s">
        <v>85</v>
      </c>
      <c r="K32" s="25" t="s">
        <v>86</v>
      </c>
      <c r="M32" t="s">
        <v>83</v>
      </c>
      <c r="N32" s="7" t="s">
        <v>84</v>
      </c>
      <c r="O32" s="25" t="s">
        <v>85</v>
      </c>
      <c r="P32" s="25" t="s">
        <v>86</v>
      </c>
      <c r="R32" t="s">
        <v>83</v>
      </c>
      <c r="S32" s="7" t="s">
        <v>84</v>
      </c>
      <c r="T32" s="25" t="s">
        <v>85</v>
      </c>
      <c r="U32" s="25" t="s">
        <v>86</v>
      </c>
    </row>
    <row r="33" spans="1:21">
      <c r="A33" s="42" t="str">
        <f>IF('CSs and Loads'!A50=1,"yes","no")</f>
        <v>yes</v>
      </c>
      <c r="B33" s="68" t="s">
        <v>79</v>
      </c>
      <c r="C33" s="69">
        <f>H33+I33+J33+K33</f>
        <v>1.0000485902748863E-2</v>
      </c>
      <c r="D33" s="69">
        <f>SQRT(H33^2+I33^2+J33^2+K33^2)</f>
        <v>7.0706258239456614E-3</v>
      </c>
      <c r="E33" s="46">
        <f>M33+N33+O33+P33</f>
        <v>3.472638780124826E-5</v>
      </c>
      <c r="F33" s="46">
        <f>R33+S33+T33+U33</f>
        <v>3.4620214618488335E-3</v>
      </c>
      <c r="G33" s="68" t="s">
        <v>79</v>
      </c>
      <c r="H33" s="47">
        <f>'CSs and Loads'!T48</f>
        <v>5.0000000000000001E-3</v>
      </c>
      <c r="I33" s="47">
        <f>'CSs and Loads'!U48</f>
        <v>0</v>
      </c>
      <c r="J33" s="47">
        <f>'CSs and Loads'!V48</f>
        <v>4.9993747916794009E-3</v>
      </c>
      <c r="K33" s="47">
        <f>'CSs and Loads'!W48</f>
        <v>1.1111110694628223E-6</v>
      </c>
      <c r="L33" s="68" t="s">
        <v>79</v>
      </c>
      <c r="M33" s="47">
        <f>'CSs and Loads'!T55</f>
        <v>0.1</v>
      </c>
      <c r="N33" s="47">
        <f>'CSs and Loads'!U55</f>
        <v>0</v>
      </c>
      <c r="O33" s="47">
        <f>'CSs and Loads'!V55</f>
        <v>-9.9987495833588014E-2</v>
      </c>
      <c r="P33" s="47">
        <f>'CSs and Loads'!W55</f>
        <v>2.2222221389256443E-5</v>
      </c>
      <c r="Q33" s="68" t="s">
        <v>79</v>
      </c>
      <c r="R33" s="47">
        <f>'CSs and Loads'!Y55</f>
        <v>0</v>
      </c>
      <c r="S33" s="47">
        <f>'CSs and Loads'!Z55</f>
        <v>0</v>
      </c>
      <c r="T33" s="47">
        <f>'CSs and Loads'!AA55</f>
        <v>3.4620214618488335E-3</v>
      </c>
      <c r="U33" s="47">
        <f>'CSs and Loads'!AB55</f>
        <v>0</v>
      </c>
    </row>
    <row r="34" spans="1:21">
      <c r="A34" s="42">
        <f>'CSs and Loads'!A50</f>
        <v>1</v>
      </c>
      <c r="B34" s="68" t="s">
        <v>106</v>
      </c>
      <c r="C34" s="69">
        <f t="shared" ref="C34:C35" si="5">H34+I34+J34+K34</f>
        <v>1.3333332878086428E-2</v>
      </c>
      <c r="D34" s="69">
        <f t="shared" ref="D34:D35" si="6">SQRT(H34^2+I34^2+J34^2+K34^2)</f>
        <v>7.817359361170971E-3</v>
      </c>
      <c r="E34" s="46">
        <f t="shared" ref="E34:E35" si="7">M34+N34+O34+P34</f>
        <v>0.13333333410493819</v>
      </c>
      <c r="F34" s="46">
        <f t="shared" ref="F34:F35" si="8">R34+S34+T34+U34</f>
        <v>0</v>
      </c>
      <c r="G34" s="68" t="s">
        <v>106</v>
      </c>
      <c r="H34" s="47">
        <f>'CSs and Loads'!T49</f>
        <v>5.0000000000000001E-3</v>
      </c>
      <c r="I34" s="47">
        <f>'CSs and Loads'!U49</f>
        <v>4.9999997916666695E-3</v>
      </c>
      <c r="J34" s="47">
        <f>'CSs and Loads'!V49</f>
        <v>0</v>
      </c>
      <c r="K34" s="47">
        <f>'CSs and Loads'!W49</f>
        <v>3.3333330864197589E-3</v>
      </c>
      <c r="L34" s="68" t="s">
        <v>106</v>
      </c>
      <c r="M34" s="47">
        <f>'CSs and Loads'!T56</f>
        <v>0.1</v>
      </c>
      <c r="N34" s="47">
        <f>'CSs and Loads'!U56</f>
        <v>9.9999995833333383E-2</v>
      </c>
      <c r="O34" s="47">
        <f>'CSs and Loads'!V56</f>
        <v>0</v>
      </c>
      <c r="P34" s="47">
        <f>'CSs and Loads'!W56</f>
        <v>-6.666666172839518E-2</v>
      </c>
      <c r="Q34" s="68" t="s">
        <v>106</v>
      </c>
      <c r="R34" s="47">
        <f>'CSs and Loads'!Y56</f>
        <v>0</v>
      </c>
      <c r="S34" s="47">
        <f>'CSs and Loads'!Z56</f>
        <v>0</v>
      </c>
      <c r="T34" s="47">
        <f>'CSs and Loads'!AA56</f>
        <v>0</v>
      </c>
      <c r="U34" s="47">
        <f>'CSs and Loads'!AB56</f>
        <v>0</v>
      </c>
    </row>
    <row r="35" spans="1:21" s="50" customFormat="1" ht="17" thickBot="1">
      <c r="B35" s="70" t="s">
        <v>107</v>
      </c>
      <c r="C35" s="71">
        <f t="shared" si="5"/>
        <v>7.5024998957817961E-3</v>
      </c>
      <c r="D35" s="71">
        <f t="shared" si="6"/>
        <v>5.5907291656614802E-3</v>
      </c>
      <c r="E35" s="72">
        <f t="shared" si="7"/>
        <v>0.15004999791563592</v>
      </c>
      <c r="F35" s="72">
        <f t="shared" si="8"/>
        <v>-2.0619270579990048E-3</v>
      </c>
      <c r="G35" s="70" t="s">
        <v>107</v>
      </c>
      <c r="H35" s="73">
        <f>'CSs and Loads'!T50</f>
        <v>5.0000000000000001E-3</v>
      </c>
      <c r="I35" s="73">
        <f>'CSs and Loads'!U50</f>
        <v>1.2499999741066859E-6</v>
      </c>
      <c r="J35" s="73">
        <f>'CSs and Loads'!V50</f>
        <v>2.501249895807689E-3</v>
      </c>
      <c r="K35" s="73">
        <f>'CSs and Loads'!W50</f>
        <v>0</v>
      </c>
      <c r="L35" s="70" t="s">
        <v>107</v>
      </c>
      <c r="M35" s="73">
        <f>'CSs and Loads'!T57</f>
        <v>0.1</v>
      </c>
      <c r="N35" s="73">
        <f>'CSs and Loads'!U57</f>
        <v>2.4999999482133717E-5</v>
      </c>
      <c r="O35" s="73">
        <f>'CSs and Loads'!V57</f>
        <v>5.0024997916153779E-2</v>
      </c>
      <c r="P35" s="73">
        <f>'CSs and Loads'!W57</f>
        <v>0</v>
      </c>
      <c r="Q35" s="70" t="s">
        <v>107</v>
      </c>
      <c r="R35" s="73">
        <f>'CSs and Loads'!Y57</f>
        <v>-3.2983431009272118E-4</v>
      </c>
      <c r="S35" s="73">
        <f>'CSs and Loads'!Z57</f>
        <v>0</v>
      </c>
      <c r="T35" s="73">
        <f>'CSs and Loads'!AA57</f>
        <v>-1.7320927479062837E-3</v>
      </c>
      <c r="U35" s="73">
        <f>'CSs and Loads'!AB57</f>
        <v>0</v>
      </c>
    </row>
    <row r="37" spans="1:21">
      <c r="A37" s="22" t="s">
        <v>122</v>
      </c>
      <c r="B37" s="9" t="str">
        <f>'CSs and Loads'!A88</f>
        <v>X-Axis carriage</v>
      </c>
      <c r="C37" s="336" t="s">
        <v>144</v>
      </c>
      <c r="D37" s="336"/>
      <c r="E37" s="336"/>
      <c r="F37" s="343" t="s">
        <v>145</v>
      </c>
    </row>
    <row r="38" spans="1:21">
      <c r="A38" s="42">
        <f>A31+1</f>
        <v>3</v>
      </c>
      <c r="C38" s="331" t="s">
        <v>103</v>
      </c>
      <c r="D38" s="331"/>
      <c r="E38" s="25" t="s">
        <v>104</v>
      </c>
      <c r="F38" s="343"/>
      <c r="G38" s="33" t="s">
        <v>128</v>
      </c>
      <c r="L38" s="33" t="s">
        <v>129</v>
      </c>
      <c r="Q38" s="33" t="s">
        <v>142</v>
      </c>
    </row>
    <row r="39" spans="1:21">
      <c r="A39" s="22" t="s">
        <v>147</v>
      </c>
      <c r="C39" s="26" t="s">
        <v>143</v>
      </c>
      <c r="D39" s="26" t="s">
        <v>7</v>
      </c>
      <c r="E39" s="25" t="s">
        <v>143</v>
      </c>
      <c r="F39" s="25" t="s">
        <v>143</v>
      </c>
      <c r="H39" t="s">
        <v>83</v>
      </c>
      <c r="I39" s="7" t="s">
        <v>84</v>
      </c>
      <c r="J39" s="25" t="s">
        <v>85</v>
      </c>
      <c r="K39" s="25" t="s">
        <v>86</v>
      </c>
      <c r="M39" t="s">
        <v>83</v>
      </c>
      <c r="N39" s="7" t="s">
        <v>84</v>
      </c>
      <c r="O39" s="25" t="s">
        <v>85</v>
      </c>
      <c r="P39" s="25" t="s">
        <v>86</v>
      </c>
      <c r="R39" t="s">
        <v>83</v>
      </c>
      <c r="S39" s="7" t="s">
        <v>84</v>
      </c>
      <c r="T39" s="25" t="s">
        <v>85</v>
      </c>
      <c r="U39" s="25" t="s">
        <v>86</v>
      </c>
    </row>
    <row r="40" spans="1:21">
      <c r="A40" s="42" t="str">
        <f>IF('CSs and Loads'!A83=1,"yes","no")</f>
        <v>yes</v>
      </c>
      <c r="B40" s="68" t="s">
        <v>79</v>
      </c>
      <c r="C40" s="69">
        <f>H40+I40+J40+K40</f>
        <v>3.6664928371967706E-2</v>
      </c>
      <c r="D40" s="69">
        <f>SQRT(H40^2+I40^2+J40^2+K40^2)</f>
        <v>2.758705305122143E-2</v>
      </c>
      <c r="E40" s="46">
        <f>M40+N40+O40+P40</f>
        <v>-0.53329856743935411</v>
      </c>
      <c r="F40" s="46">
        <f>R40+S40+T40+U40</f>
        <v>1.7447884297809475E-3</v>
      </c>
      <c r="G40" s="68" t="s">
        <v>79</v>
      </c>
      <c r="H40" s="47">
        <f>'CSs and Loads'!T81</f>
        <v>5.0000000000000001E-3</v>
      </c>
      <c r="I40" s="47">
        <f>'CSs and Loads'!U81</f>
        <v>0</v>
      </c>
      <c r="J40" s="47">
        <f>'CSs and Loads'!V81</f>
        <v>4.9993747916794009E-3</v>
      </c>
      <c r="K40" s="47">
        <f>'CSs and Loads'!W81</f>
        <v>2.6665553580288302E-2</v>
      </c>
      <c r="L40" s="68" t="s">
        <v>79</v>
      </c>
      <c r="M40" s="47">
        <f>'CSs and Loads'!T88</f>
        <v>0.1</v>
      </c>
      <c r="N40" s="47">
        <f>'CSs and Loads'!U88</f>
        <v>0</v>
      </c>
      <c r="O40" s="47">
        <f>'CSs and Loads'!V88</f>
        <v>-9.9987495833588014E-2</v>
      </c>
      <c r="P40" s="47">
        <f>'CSs and Loads'!W88</f>
        <v>-0.53331107160576607</v>
      </c>
      <c r="Q40" s="68" t="s">
        <v>79</v>
      </c>
      <c r="R40" s="47">
        <f>'CSs and Loads'!Y88</f>
        <v>1.7216375473043991E-3</v>
      </c>
      <c r="S40" s="47">
        <f>'CSs and Loads'!Z88</f>
        <v>0</v>
      </c>
      <c r="T40" s="47">
        <f>'CSs and Loads'!AA88</f>
        <v>2.3150882476548434E-5</v>
      </c>
      <c r="U40" s="47">
        <f>'CSs and Loads'!AB88</f>
        <v>0</v>
      </c>
    </row>
    <row r="41" spans="1:21">
      <c r="A41" s="42">
        <f>'CSs and Loads'!A83</f>
        <v>1</v>
      </c>
      <c r="B41" s="68" t="s">
        <v>106</v>
      </c>
      <c r="C41" s="69">
        <f t="shared" ref="C41:C42" si="9">H41+I41+J41+K41</f>
        <v>1.3337221766743141E-2</v>
      </c>
      <c r="D41" s="69">
        <f t="shared" ref="D41:D42" si="10">SQRT(H41^2+I41^2+J41^2+K41^2)</f>
        <v>7.817958214890175E-3</v>
      </c>
      <c r="E41" s="46">
        <f t="shared" ref="E41:E42" si="11">M41+N41+O41+P41</f>
        <v>0.133055556335853</v>
      </c>
      <c r="F41" s="46">
        <f t="shared" ref="F41:F42" si="12">R41+S41+T41+U41</f>
        <v>-6.4597739655745359E-4</v>
      </c>
      <c r="G41" s="68" t="s">
        <v>106</v>
      </c>
      <c r="H41" s="47">
        <f>'CSs and Loads'!T82</f>
        <v>5.0000000000000001E-3</v>
      </c>
      <c r="I41" s="47">
        <f>'CSs and Loads'!U82</f>
        <v>4.994999791767896E-3</v>
      </c>
      <c r="J41" s="47">
        <f>'CSs and Loads'!V82</f>
        <v>0</v>
      </c>
      <c r="K41" s="47">
        <f>'CSs and Loads'!W82</f>
        <v>3.3422219749752453E-3</v>
      </c>
      <c r="L41" s="68" t="s">
        <v>106</v>
      </c>
      <c r="M41" s="47">
        <f>'CSs and Loads'!T89</f>
        <v>0.1</v>
      </c>
      <c r="N41" s="47">
        <f>'CSs and Loads'!U89</f>
        <v>9.9899995835357913E-2</v>
      </c>
      <c r="O41" s="47">
        <f>'CSs and Loads'!V89</f>
        <v>0</v>
      </c>
      <c r="P41" s="47">
        <f>'CSs and Loads'!W89</f>
        <v>-6.6844439499504915E-2</v>
      </c>
      <c r="Q41" s="68" t="s">
        <v>106</v>
      </c>
      <c r="R41" s="47">
        <f>'CSs and Loads'!Y89</f>
        <v>0</v>
      </c>
      <c r="S41" s="47">
        <f>'CSs and Loads'!Z89</f>
        <v>-6.4597739655745359E-4</v>
      </c>
      <c r="T41" s="47">
        <f>'CSs and Loads'!AA89</f>
        <v>0</v>
      </c>
      <c r="U41" s="47">
        <f>'CSs and Loads'!AB89</f>
        <v>0</v>
      </c>
    </row>
    <row r="42" spans="1:21" s="50" customFormat="1" ht="17" thickBot="1">
      <c r="B42" s="70" t="s">
        <v>107</v>
      </c>
      <c r="C42" s="71">
        <f t="shared" si="9"/>
        <v>2.7502499062449035E-2</v>
      </c>
      <c r="D42" s="71">
        <f t="shared" si="10"/>
        <v>2.0767913214074955E-2</v>
      </c>
      <c r="E42" s="72">
        <f t="shared" si="11"/>
        <v>0.55004998124898064</v>
      </c>
      <c r="F42" s="72">
        <f t="shared" si="12"/>
        <v>-1.5908615671386631E-2</v>
      </c>
      <c r="G42" s="70" t="s">
        <v>107</v>
      </c>
      <c r="H42" s="73">
        <f>'CSs and Loads'!T83</f>
        <v>5.0000000000000001E-3</v>
      </c>
      <c r="I42" s="73">
        <f>'CSs and Loads'!U83</f>
        <v>2.0001249166641345E-2</v>
      </c>
      <c r="J42" s="73">
        <f>'CSs and Loads'!V83</f>
        <v>2.501249895807689E-3</v>
      </c>
      <c r="K42" s="73">
        <f>'CSs and Loads'!W83</f>
        <v>0</v>
      </c>
      <c r="L42" s="70" t="s">
        <v>107</v>
      </c>
      <c r="M42" s="73">
        <f>'CSs and Loads'!T90</f>
        <v>0.1</v>
      </c>
      <c r="N42" s="73">
        <f>'CSs and Loads'!U90</f>
        <v>0.40002498333282688</v>
      </c>
      <c r="O42" s="73">
        <f>'CSs and Loads'!V90</f>
        <v>5.0024997916153779E-2</v>
      </c>
      <c r="P42" s="73">
        <f>'CSs and Loads'!W90</f>
        <v>0</v>
      </c>
      <c r="Q42" s="70" t="s">
        <v>107</v>
      </c>
      <c r="R42" s="73">
        <f>'CSs and Loads'!Y90</f>
        <v>-1.3310375256216792E-2</v>
      </c>
      <c r="S42" s="73">
        <f>'CSs and Loads'!Z90</f>
        <v>-2.5866577383761957E-3</v>
      </c>
      <c r="T42" s="73">
        <f>'CSs and Loads'!AA90</f>
        <v>-1.1582676793645805E-5</v>
      </c>
      <c r="U42" s="73">
        <f>'CSs and Loads'!AB90</f>
        <v>0</v>
      </c>
    </row>
    <row r="44" spans="1:21">
      <c r="A44" s="22" t="s">
        <v>122</v>
      </c>
      <c r="B44" s="9" t="str">
        <f>'CSs and Loads'!A121</f>
        <v>X-Axis structure</v>
      </c>
      <c r="C44" s="336" t="s">
        <v>144</v>
      </c>
      <c r="D44" s="336"/>
      <c r="E44" s="336"/>
      <c r="F44" s="343" t="s">
        <v>145</v>
      </c>
    </row>
    <row r="45" spans="1:21">
      <c r="A45" s="42">
        <f>A38+1</f>
        <v>4</v>
      </c>
      <c r="C45" s="331" t="s">
        <v>103</v>
      </c>
      <c r="D45" s="331"/>
      <c r="E45" s="25" t="s">
        <v>104</v>
      </c>
      <c r="F45" s="343"/>
      <c r="G45" s="33" t="s">
        <v>128</v>
      </c>
      <c r="L45" s="33" t="s">
        <v>129</v>
      </c>
      <c r="Q45" s="33" t="s">
        <v>142</v>
      </c>
    </row>
    <row r="46" spans="1:21">
      <c r="A46" s="22" t="s">
        <v>147</v>
      </c>
      <c r="C46" s="26" t="s">
        <v>143</v>
      </c>
      <c r="D46" s="26" t="s">
        <v>7</v>
      </c>
      <c r="E46" s="25" t="s">
        <v>143</v>
      </c>
      <c r="F46" s="25" t="s">
        <v>143</v>
      </c>
      <c r="H46" t="s">
        <v>83</v>
      </c>
      <c r="I46" s="7" t="s">
        <v>84</v>
      </c>
      <c r="J46" s="25" t="s">
        <v>85</v>
      </c>
      <c r="K46" s="25" t="s">
        <v>86</v>
      </c>
      <c r="M46" t="s">
        <v>83</v>
      </c>
      <c r="N46" s="7" t="s">
        <v>84</v>
      </c>
      <c r="O46" s="25" t="s">
        <v>85</v>
      </c>
      <c r="P46" s="25" t="s">
        <v>86</v>
      </c>
      <c r="R46" t="s">
        <v>83</v>
      </c>
      <c r="S46" s="7" t="s">
        <v>84</v>
      </c>
      <c r="T46" s="25" t="s">
        <v>85</v>
      </c>
      <c r="U46" s="25" t="s">
        <v>86</v>
      </c>
    </row>
    <row r="47" spans="1:21">
      <c r="A47" s="42" t="str">
        <f>IF('CSs and Loads'!A116=1,"yes","no")</f>
        <v>yes</v>
      </c>
      <c r="B47" s="68" t="s">
        <v>79</v>
      </c>
      <c r="C47" s="69">
        <f>H47+I47+J47+K47</f>
        <v>0.12499749980000729</v>
      </c>
      <c r="D47" s="69">
        <f>SQRT(H47^2+I47^2+J47^2+K47^2)</f>
        <v>0.10210142001196164</v>
      </c>
      <c r="E47" s="46">
        <f>M47+N47+O47+P47</f>
        <v>0</v>
      </c>
      <c r="F47" s="46">
        <f>R47+S47+T47+U47</f>
        <v>4.0876857011655715E-3</v>
      </c>
      <c r="G47" s="68" t="s">
        <v>79</v>
      </c>
      <c r="H47" s="47">
        <f>'CSs and Loads'!T114</f>
        <v>5.0000000000000001E-3</v>
      </c>
      <c r="I47" s="47">
        <f>'CSs and Loads'!U114</f>
        <v>0</v>
      </c>
      <c r="J47" s="47">
        <f>'CSs and Loads'!V114</f>
        <v>1.9998749966674723E-2</v>
      </c>
      <c r="K47" s="47">
        <f>'CSs and Loads'!W114</f>
        <v>9.9998749833332568E-2</v>
      </c>
      <c r="L47" s="68" t="s">
        <v>79</v>
      </c>
      <c r="M47" s="47">
        <f>'CSs and Loads'!T121</f>
        <v>0</v>
      </c>
      <c r="N47" s="47">
        <f>'CSs and Loads'!U121</f>
        <v>0</v>
      </c>
      <c r="O47" s="47">
        <f>'CSs and Loads'!V121</f>
        <v>0</v>
      </c>
      <c r="P47" s="47">
        <f>'CSs and Loads'!W121</f>
        <v>0</v>
      </c>
      <c r="Q47" s="68" t="s">
        <v>79</v>
      </c>
      <c r="R47" s="47">
        <f>'CSs and Loads'!Y121</f>
        <v>0</v>
      </c>
      <c r="S47" s="47">
        <f>'CSs and Loads'!Z121</f>
        <v>0</v>
      </c>
      <c r="T47" s="47">
        <f>'CSs and Loads'!AA121</f>
        <v>4.0876857011655715E-3</v>
      </c>
      <c r="U47" s="47">
        <f>'CSs and Loads'!AB121</f>
        <v>0</v>
      </c>
    </row>
    <row r="48" spans="1:21">
      <c r="A48" s="42">
        <f>'CSs and Loads'!A116</f>
        <v>1</v>
      </c>
      <c r="B48" s="68" t="s">
        <v>106</v>
      </c>
      <c r="C48" s="69">
        <f t="shared" ref="C48:C49" si="13">H48+I48+J48+K48</f>
        <v>4.999999972517799E-2</v>
      </c>
      <c r="D48" s="69">
        <f t="shared" ref="D48:D49" si="14">SQRT(H48^2+I48^2+J48^2+K48^2)</f>
        <v>3.2404475595086975E-2</v>
      </c>
      <c r="E48" s="46">
        <f t="shared" ref="E48:E49" si="15">M48+N48+O48+P48</f>
        <v>0</v>
      </c>
      <c r="F48" s="46">
        <f t="shared" ref="F48:F49" si="16">R48+S48+T48+U48</f>
        <v>-1.4543140261313002E-2</v>
      </c>
      <c r="G48" s="68" t="s">
        <v>106</v>
      </c>
      <c r="H48" s="47">
        <f>'CSs and Loads'!T115</f>
        <v>5.0000000000000001E-3</v>
      </c>
      <c r="I48" s="47">
        <f>'CSs and Loads'!U115</f>
        <v>1.999499976682273E-2</v>
      </c>
      <c r="J48" s="47">
        <f>'CSs and Loads'!V115</f>
        <v>0</v>
      </c>
      <c r="K48" s="47">
        <f>'CSs and Loads'!W115</f>
        <v>2.5004999958355256E-2</v>
      </c>
      <c r="L48" s="68" t="s">
        <v>106</v>
      </c>
      <c r="M48" s="47">
        <f>'CSs and Loads'!T122</f>
        <v>0</v>
      </c>
      <c r="N48" s="47">
        <f>'CSs and Loads'!U122</f>
        <v>0</v>
      </c>
      <c r="O48" s="47">
        <f>'CSs and Loads'!V122</f>
        <v>0</v>
      </c>
      <c r="P48" s="47">
        <f>'CSs and Loads'!W122</f>
        <v>0</v>
      </c>
      <c r="Q48" s="68" t="s">
        <v>106</v>
      </c>
      <c r="R48" s="47">
        <f>'CSs and Loads'!Y122</f>
        <v>0</v>
      </c>
      <c r="S48" s="47">
        <f>'CSs and Loads'!Z122</f>
        <v>-1.4543140261313002E-2</v>
      </c>
      <c r="T48" s="47">
        <f>'CSs and Loads'!AA122</f>
        <v>0</v>
      </c>
      <c r="U48" s="47">
        <f>'CSs and Loads'!AB122</f>
        <v>0</v>
      </c>
    </row>
    <row r="49" spans="1:21" s="50" customFormat="1" ht="17" thickBot="1">
      <c r="B49" s="70" t="s">
        <v>107</v>
      </c>
      <c r="C49" s="71">
        <f t="shared" si="13"/>
        <v>0.13000199879164598</v>
      </c>
      <c r="D49" s="71">
        <f t="shared" si="14"/>
        <v>0.10320004731867248</v>
      </c>
      <c r="E49" s="72">
        <f t="shared" si="15"/>
        <v>0</v>
      </c>
      <c r="F49" s="72">
        <f t="shared" si="16"/>
        <v>-7.8547988759778586E-2</v>
      </c>
      <c r="G49" s="70" t="s">
        <v>107</v>
      </c>
      <c r="H49" s="73">
        <f>'CSs and Loads'!T116</f>
        <v>5.0000000000000001E-3</v>
      </c>
      <c r="I49" s="73">
        <f>'CSs and Loads'!U116</f>
        <v>0.10000099883330904</v>
      </c>
      <c r="J49" s="73">
        <f>'CSs and Loads'!V116</f>
        <v>2.5000999958336934E-2</v>
      </c>
      <c r="K49" s="73">
        <f>'CSs and Loads'!W116</f>
        <v>0</v>
      </c>
      <c r="L49" s="70" t="s">
        <v>107</v>
      </c>
      <c r="M49" s="73">
        <f>'CSs and Loads'!T123</f>
        <v>0</v>
      </c>
      <c r="N49" s="73">
        <f>'CSs and Loads'!U123</f>
        <v>0</v>
      </c>
      <c r="O49" s="73">
        <f>'CSs and Loads'!V123</f>
        <v>0</v>
      </c>
      <c r="P49" s="73">
        <f>'CSs and Loads'!W123</f>
        <v>0</v>
      </c>
      <c r="Q49" s="70" t="s">
        <v>107</v>
      </c>
      <c r="R49" s="73">
        <f>'CSs and Loads'!Y123</f>
        <v>-7.0324574961360125E-4</v>
      </c>
      <c r="S49" s="73">
        <f>'CSs and Loads'!Z123</f>
        <v>-7.2734612116242547E-2</v>
      </c>
      <c r="T49" s="73">
        <f>'CSs and Loads'!AA123</f>
        <v>-5.1101308939224431E-3</v>
      </c>
      <c r="U49" s="73">
        <f>'CSs and Loads'!AB123</f>
        <v>0</v>
      </c>
    </row>
    <row r="51" spans="1:21">
      <c r="A51" s="22" t="s">
        <v>122</v>
      </c>
      <c r="B51" s="9" t="str">
        <f>'CSs and Loads'!A154</f>
        <v>cutting point on workpiece</v>
      </c>
      <c r="C51" s="336" t="s">
        <v>144</v>
      </c>
      <c r="D51" s="336"/>
      <c r="E51" s="336"/>
      <c r="F51" s="343" t="s">
        <v>145</v>
      </c>
    </row>
    <row r="52" spans="1:21">
      <c r="A52" s="42">
        <f>A45+1</f>
        <v>5</v>
      </c>
      <c r="C52" s="331" t="s">
        <v>103</v>
      </c>
      <c r="D52" s="331"/>
      <c r="E52" s="25" t="s">
        <v>104</v>
      </c>
      <c r="F52" s="343"/>
      <c r="G52" s="33" t="s">
        <v>128</v>
      </c>
      <c r="L52" s="33" t="s">
        <v>129</v>
      </c>
      <c r="Q52" s="33" t="s">
        <v>142</v>
      </c>
    </row>
    <row r="53" spans="1:21">
      <c r="A53" s="22" t="s">
        <v>147</v>
      </c>
      <c r="C53" s="26" t="s">
        <v>143</v>
      </c>
      <c r="D53" s="26" t="s">
        <v>7</v>
      </c>
      <c r="E53" s="25" t="s">
        <v>143</v>
      </c>
      <c r="F53" s="25" t="s">
        <v>143</v>
      </c>
      <c r="H53" t="s">
        <v>83</v>
      </c>
      <c r="I53" s="7" t="s">
        <v>84</v>
      </c>
      <c r="J53" s="25" t="s">
        <v>85</v>
      </c>
      <c r="K53" s="25" t="s">
        <v>86</v>
      </c>
      <c r="M53" t="s">
        <v>83</v>
      </c>
      <c r="N53" s="7" t="s">
        <v>84</v>
      </c>
      <c r="O53" s="25" t="s">
        <v>85</v>
      </c>
      <c r="P53" s="25" t="s">
        <v>86</v>
      </c>
      <c r="R53" t="s">
        <v>83</v>
      </c>
      <c r="S53" s="7" t="s">
        <v>84</v>
      </c>
      <c r="T53" s="25" t="s">
        <v>85</v>
      </c>
      <c r="U53" s="25" t="s">
        <v>86</v>
      </c>
    </row>
    <row r="54" spans="1:21">
      <c r="A54" s="42" t="str">
        <f>IF('CSs and Loads'!A149=1,"yes","no")</f>
        <v>no</v>
      </c>
      <c r="B54" s="68" t="s">
        <v>79</v>
      </c>
      <c r="C54" s="69">
        <f>H54+I54+J54+K54</f>
        <v>5.0000000000000001E-3</v>
      </c>
      <c r="D54" s="69">
        <f>SQRT(H54^2+I54^2+J54^2+K54^2)</f>
        <v>5.0000000000000001E-3</v>
      </c>
      <c r="E54" s="46">
        <f>M54+N54+O54+P54</f>
        <v>0</v>
      </c>
      <c r="F54" s="46">
        <f>R54+S54+T54+U54</f>
        <v>0</v>
      </c>
      <c r="G54" s="68" t="s">
        <v>79</v>
      </c>
      <c r="H54" s="47">
        <f>'CSs and Loads'!T147</f>
        <v>5.0000000000000001E-3</v>
      </c>
      <c r="I54" s="47">
        <f>'CSs and Loads'!U147</f>
        <v>0</v>
      </c>
      <c r="J54" s="47">
        <f>'CSs and Loads'!V147</f>
        <v>0</v>
      </c>
      <c r="K54" s="47">
        <f>'CSs and Loads'!W147</f>
        <v>0</v>
      </c>
      <c r="L54" s="68" t="s">
        <v>79</v>
      </c>
      <c r="M54" s="47">
        <f>'CSs and Loads'!T154</f>
        <v>0</v>
      </c>
      <c r="N54" s="47">
        <f>'CSs and Loads'!U154</f>
        <v>0</v>
      </c>
      <c r="O54" s="47">
        <f>'CSs and Loads'!V154</f>
        <v>0</v>
      </c>
      <c r="P54" s="47">
        <f>'CSs and Loads'!W154</f>
        <v>0</v>
      </c>
      <c r="Q54" s="68" t="s">
        <v>79</v>
      </c>
      <c r="R54" s="47">
        <f>'CSs and Loads'!Y154</f>
        <v>0</v>
      </c>
      <c r="S54" s="47">
        <f>'CSs and Loads'!Z154</f>
        <v>0</v>
      </c>
      <c r="T54" s="47">
        <f>'CSs and Loads'!AA154</f>
        <v>0</v>
      </c>
      <c r="U54" s="47">
        <f>'CSs and Loads'!AB154</f>
        <v>0</v>
      </c>
    </row>
    <row r="55" spans="1:21">
      <c r="A55" s="42">
        <f>'CSs and Loads'!A149</f>
        <v>0</v>
      </c>
      <c r="B55" s="68" t="s">
        <v>106</v>
      </c>
      <c r="C55" s="69">
        <f t="shared" ref="C55:C56" si="17">H55+I55+J55+K55</f>
        <v>5.0000000000000001E-3</v>
      </c>
      <c r="D55" s="69">
        <f t="shared" ref="D55:D56" si="18">SQRT(H55^2+I55^2+J55^2+K55^2)</f>
        <v>5.0000000000000001E-3</v>
      </c>
      <c r="E55" s="46">
        <f t="shared" ref="E55:E56" si="19">M55+N55+O55+P55</f>
        <v>0</v>
      </c>
      <c r="F55" s="46">
        <f t="shared" ref="F55:F56" si="20">R55+S55+T55+U55</f>
        <v>0</v>
      </c>
      <c r="G55" s="68" t="s">
        <v>106</v>
      </c>
      <c r="H55" s="47">
        <f>'CSs and Loads'!T148</f>
        <v>5.0000000000000001E-3</v>
      </c>
      <c r="I55" s="47">
        <f>'CSs and Loads'!U148</f>
        <v>0</v>
      </c>
      <c r="J55" s="47">
        <f>'CSs and Loads'!V148</f>
        <v>0</v>
      </c>
      <c r="K55" s="47">
        <f>'CSs and Loads'!W148</f>
        <v>0</v>
      </c>
      <c r="L55" s="68" t="s">
        <v>106</v>
      </c>
      <c r="M55" s="47">
        <f>'CSs and Loads'!T155</f>
        <v>0</v>
      </c>
      <c r="N55" s="47">
        <f>'CSs and Loads'!U155</f>
        <v>0</v>
      </c>
      <c r="O55" s="47">
        <f>'CSs and Loads'!V155</f>
        <v>0</v>
      </c>
      <c r="P55" s="47">
        <f>'CSs and Loads'!W155</f>
        <v>0</v>
      </c>
      <c r="Q55" s="68" t="s">
        <v>106</v>
      </c>
      <c r="R55" s="47">
        <f>'CSs and Loads'!Y155</f>
        <v>0</v>
      </c>
      <c r="S55" s="47">
        <f>'CSs and Loads'!Z155</f>
        <v>0</v>
      </c>
      <c r="T55" s="47">
        <f>'CSs and Loads'!AA155</f>
        <v>0</v>
      </c>
      <c r="U55" s="47">
        <f>'CSs and Loads'!AB155</f>
        <v>0</v>
      </c>
    </row>
    <row r="56" spans="1:21" s="50" customFormat="1" ht="17" thickBot="1">
      <c r="B56" s="70" t="s">
        <v>107</v>
      </c>
      <c r="C56" s="71">
        <f t="shared" si="17"/>
        <v>5.0000000000000001E-3</v>
      </c>
      <c r="D56" s="71">
        <f t="shared" si="18"/>
        <v>5.0000000000000001E-3</v>
      </c>
      <c r="E56" s="72">
        <f t="shared" si="19"/>
        <v>0</v>
      </c>
      <c r="F56" s="72">
        <f t="shared" si="20"/>
        <v>-6.8382155265459951E-3</v>
      </c>
      <c r="G56" s="70" t="s">
        <v>107</v>
      </c>
      <c r="H56" s="73">
        <f>'CSs and Loads'!T149</f>
        <v>5.0000000000000001E-3</v>
      </c>
      <c r="I56" s="73">
        <f>'CSs and Loads'!U149</f>
        <v>0</v>
      </c>
      <c r="J56" s="73">
        <f>'CSs and Loads'!V149</f>
        <v>0</v>
      </c>
      <c r="K56" s="73">
        <f>'CSs and Loads'!W149</f>
        <v>0</v>
      </c>
      <c r="L56" s="70" t="s">
        <v>107</v>
      </c>
      <c r="M56" s="73">
        <f>'CSs and Loads'!T156</f>
        <v>0</v>
      </c>
      <c r="N56" s="73">
        <f>'CSs and Loads'!U156</f>
        <v>0</v>
      </c>
      <c r="O56" s="73">
        <f>'CSs and Loads'!V156</f>
        <v>0</v>
      </c>
      <c r="P56" s="73">
        <f>'CSs and Loads'!W156</f>
        <v>0</v>
      </c>
      <c r="Q56" s="70" t="s">
        <v>107</v>
      </c>
      <c r="R56" s="73">
        <f>'CSs and Loads'!Y156</f>
        <v>-6.8382155265459951E-3</v>
      </c>
      <c r="S56" s="73">
        <f>'CSs and Loads'!Z156</f>
        <v>0</v>
      </c>
      <c r="T56" s="73">
        <f>'CSs and Loads'!AA156</f>
        <v>0</v>
      </c>
      <c r="U56" s="73">
        <f>'CSs and Loads'!AB156</f>
        <v>0</v>
      </c>
    </row>
    <row r="58" spans="1:21">
      <c r="A58" s="22" t="s">
        <v>122</v>
      </c>
      <c r="B58" s="9" t="str">
        <f>'CSs and Loads'!A187</f>
        <v>Not used</v>
      </c>
      <c r="C58" s="336" t="s">
        <v>144</v>
      </c>
      <c r="D58" s="336"/>
      <c r="E58" s="336"/>
      <c r="F58" s="343" t="s">
        <v>145</v>
      </c>
    </row>
    <row r="59" spans="1:21">
      <c r="A59" s="42">
        <f>A52+1</f>
        <v>6</v>
      </c>
      <c r="C59" s="331" t="s">
        <v>103</v>
      </c>
      <c r="D59" s="331"/>
      <c r="E59" s="25" t="s">
        <v>104</v>
      </c>
      <c r="F59" s="343"/>
      <c r="G59" s="33" t="s">
        <v>128</v>
      </c>
      <c r="L59" s="33" t="s">
        <v>129</v>
      </c>
      <c r="Q59" s="33" t="s">
        <v>142</v>
      </c>
    </row>
    <row r="60" spans="1:21">
      <c r="A60" s="22" t="s">
        <v>147</v>
      </c>
      <c r="C60" s="26" t="s">
        <v>143</v>
      </c>
      <c r="D60" s="26" t="s">
        <v>7</v>
      </c>
      <c r="E60" s="25" t="s">
        <v>143</v>
      </c>
      <c r="F60" s="25" t="s">
        <v>143</v>
      </c>
      <c r="H60" t="s">
        <v>83</v>
      </c>
      <c r="I60" s="7" t="s">
        <v>84</v>
      </c>
      <c r="J60" s="25" t="s">
        <v>85</v>
      </c>
      <c r="K60" s="25" t="s">
        <v>86</v>
      </c>
      <c r="M60" t="s">
        <v>83</v>
      </c>
      <c r="N60" s="7" t="s">
        <v>84</v>
      </c>
      <c r="O60" s="25" t="s">
        <v>85</v>
      </c>
      <c r="P60" s="25" t="s">
        <v>86</v>
      </c>
      <c r="R60" t="s">
        <v>83</v>
      </c>
      <c r="S60" s="7" t="s">
        <v>84</v>
      </c>
      <c r="T60" s="25" t="s">
        <v>85</v>
      </c>
      <c r="U60" s="25" t="s">
        <v>86</v>
      </c>
    </row>
    <row r="61" spans="1:21">
      <c r="A61" s="42" t="str">
        <f>IF('CSs and Loads'!A182=1,"yes","no")</f>
        <v>no</v>
      </c>
      <c r="B61" s="68" t="s">
        <v>79</v>
      </c>
      <c r="C61" s="69">
        <f>H61+I61+J61+K61</f>
        <v>5.0000000000000001E-3</v>
      </c>
      <c r="D61" s="69">
        <f>SQRT(H61^2+I61^2+J61^2+K61^2)</f>
        <v>5.0000000000000001E-3</v>
      </c>
      <c r="E61" s="46">
        <f>M61+N61+O61+P61</f>
        <v>0</v>
      </c>
      <c r="F61" s="46">
        <f>R61+S61+T61+U61</f>
        <v>-4.8315186206556423E-3</v>
      </c>
      <c r="G61" s="68" t="s">
        <v>79</v>
      </c>
      <c r="H61" s="47">
        <f>'CSs and Loads'!T180</f>
        <v>5.0000000000000001E-3</v>
      </c>
      <c r="I61" s="47">
        <f>'CSs and Loads'!U180</f>
        <v>0</v>
      </c>
      <c r="J61" s="47">
        <f>'CSs and Loads'!V180</f>
        <v>0</v>
      </c>
      <c r="K61" s="47">
        <f>'CSs and Loads'!W180</f>
        <v>0</v>
      </c>
      <c r="L61" s="68" t="s">
        <v>79</v>
      </c>
      <c r="M61" s="47">
        <f>'CSs and Loads'!T187</f>
        <v>0</v>
      </c>
      <c r="N61" s="47">
        <f>'CSs and Loads'!U187</f>
        <v>0</v>
      </c>
      <c r="O61" s="47">
        <f>'CSs and Loads'!V187</f>
        <v>0</v>
      </c>
      <c r="P61" s="47">
        <f>'CSs and Loads'!W187</f>
        <v>0</v>
      </c>
      <c r="Q61" s="68" t="s">
        <v>79</v>
      </c>
      <c r="R61" s="47">
        <f>'CSs and Loads'!Y187</f>
        <v>-4.8315186206556423E-3</v>
      </c>
      <c r="S61" s="47">
        <f>'CSs and Loads'!Z187</f>
        <v>0</v>
      </c>
      <c r="T61" s="47">
        <f>'CSs and Loads'!AA187</f>
        <v>0</v>
      </c>
      <c r="U61" s="47">
        <f>'CSs and Loads'!AB187</f>
        <v>0</v>
      </c>
    </row>
    <row r="62" spans="1:21">
      <c r="A62" s="42">
        <f>'CSs and Loads'!A182</f>
        <v>0</v>
      </c>
      <c r="B62" s="68" t="s">
        <v>106</v>
      </c>
      <c r="C62" s="69">
        <f t="shared" ref="C62:C63" si="21">H62+I62+J62+K62</f>
        <v>5.0000000000000001E-3</v>
      </c>
      <c r="D62" s="69">
        <f t="shared" ref="D62:D63" si="22">SQRT(H62^2+I62^2+J62^2+K62^2)</f>
        <v>5.0000000000000001E-3</v>
      </c>
      <c r="E62" s="46">
        <f t="shared" ref="E62:E63" si="23">M62+N62+O62+P62</f>
        <v>0</v>
      </c>
      <c r="F62" s="46">
        <f t="shared" ref="F62:F63" si="24">R62+S62+T62+U62</f>
        <v>-1.9930014310204525E-2</v>
      </c>
      <c r="G62" s="68" t="s">
        <v>106</v>
      </c>
      <c r="H62" s="47">
        <f>'CSs and Loads'!T181</f>
        <v>5.0000000000000001E-3</v>
      </c>
      <c r="I62" s="47">
        <f>'CSs and Loads'!U181</f>
        <v>0</v>
      </c>
      <c r="J62" s="47">
        <f>'CSs and Loads'!V181</f>
        <v>0</v>
      </c>
      <c r="K62" s="47">
        <f>'CSs and Loads'!W181</f>
        <v>0</v>
      </c>
      <c r="L62" s="68" t="s">
        <v>106</v>
      </c>
      <c r="M62" s="47">
        <f>'CSs and Loads'!T188</f>
        <v>0</v>
      </c>
      <c r="N62" s="47">
        <f>'CSs and Loads'!U188</f>
        <v>0</v>
      </c>
      <c r="O62" s="47">
        <f>'CSs and Loads'!V188</f>
        <v>0</v>
      </c>
      <c r="P62" s="47">
        <f>'CSs and Loads'!W188</f>
        <v>0</v>
      </c>
      <c r="Q62" s="68" t="s">
        <v>106</v>
      </c>
      <c r="R62" s="47">
        <f>'CSs and Loads'!Y188</f>
        <v>-1.9930014310204525E-2</v>
      </c>
      <c r="S62" s="47">
        <f>'CSs and Loads'!Z188</f>
        <v>0</v>
      </c>
      <c r="T62" s="47">
        <f>'CSs and Loads'!AA188</f>
        <v>0</v>
      </c>
      <c r="U62" s="47">
        <f>'CSs and Loads'!AB188</f>
        <v>0</v>
      </c>
    </row>
    <row r="63" spans="1:21" s="50" customFormat="1" ht="17" thickBot="1">
      <c r="B63" s="70" t="s">
        <v>107</v>
      </c>
      <c r="C63" s="71">
        <f t="shared" si="21"/>
        <v>5.0000000000000001E-3</v>
      </c>
      <c r="D63" s="71">
        <f t="shared" si="22"/>
        <v>5.0000000000000001E-3</v>
      </c>
      <c r="E63" s="72">
        <f t="shared" si="23"/>
        <v>0</v>
      </c>
      <c r="F63" s="72">
        <f t="shared" si="24"/>
        <v>-1.180227379905364E-3</v>
      </c>
      <c r="G63" s="70" t="s">
        <v>107</v>
      </c>
      <c r="H63" s="73">
        <f>'CSs and Loads'!T182</f>
        <v>5.0000000000000001E-3</v>
      </c>
      <c r="I63" s="73">
        <f>'CSs and Loads'!U182</f>
        <v>0</v>
      </c>
      <c r="J63" s="73">
        <f>'CSs and Loads'!V182</f>
        <v>0</v>
      </c>
      <c r="K63" s="73">
        <f>'CSs and Loads'!W182</f>
        <v>0</v>
      </c>
      <c r="L63" s="70" t="s">
        <v>107</v>
      </c>
      <c r="M63" s="73">
        <f>'CSs and Loads'!T189</f>
        <v>0</v>
      </c>
      <c r="N63" s="73">
        <f>'CSs and Loads'!U189</f>
        <v>0</v>
      </c>
      <c r="O63" s="73">
        <f>'CSs and Loads'!V189</f>
        <v>0</v>
      </c>
      <c r="P63" s="73">
        <f>'CSs and Loads'!W189</f>
        <v>0</v>
      </c>
      <c r="Q63" s="70" t="s">
        <v>107</v>
      </c>
      <c r="R63" s="73">
        <f>'CSs and Loads'!Y189</f>
        <v>-1.180227379905364E-3</v>
      </c>
      <c r="S63" s="73">
        <f>'CSs and Loads'!Z189</f>
        <v>0</v>
      </c>
      <c r="T63" s="73">
        <f>'CSs and Loads'!AA189</f>
        <v>0</v>
      </c>
      <c r="U63" s="73">
        <f>'CSs and Loads'!AB189</f>
        <v>0</v>
      </c>
    </row>
    <row r="65" spans="1:21">
      <c r="A65" s="22" t="s">
        <v>122</v>
      </c>
      <c r="B65" s="9" t="str">
        <f>'CSs and Loads'!A220</f>
        <v>Not used</v>
      </c>
      <c r="C65" s="336" t="s">
        <v>144</v>
      </c>
      <c r="D65" s="336"/>
      <c r="E65" s="336"/>
      <c r="F65" s="343" t="s">
        <v>145</v>
      </c>
    </row>
    <row r="66" spans="1:21">
      <c r="A66" s="42">
        <f>A59+1</f>
        <v>7</v>
      </c>
      <c r="C66" s="331" t="s">
        <v>103</v>
      </c>
      <c r="D66" s="331"/>
      <c r="E66" s="25" t="s">
        <v>104</v>
      </c>
      <c r="F66" s="343"/>
      <c r="G66" s="33" t="s">
        <v>128</v>
      </c>
      <c r="L66" s="33" t="s">
        <v>129</v>
      </c>
      <c r="Q66" s="33" t="s">
        <v>142</v>
      </c>
    </row>
    <row r="67" spans="1:21">
      <c r="A67" s="22" t="s">
        <v>147</v>
      </c>
      <c r="C67" s="26" t="s">
        <v>143</v>
      </c>
      <c r="D67" s="26" t="s">
        <v>7</v>
      </c>
      <c r="E67" s="25" t="s">
        <v>143</v>
      </c>
      <c r="F67" s="25" t="s">
        <v>143</v>
      </c>
      <c r="H67" t="s">
        <v>83</v>
      </c>
      <c r="I67" s="7" t="s">
        <v>84</v>
      </c>
      <c r="J67" s="25" t="s">
        <v>85</v>
      </c>
      <c r="K67" s="25" t="s">
        <v>86</v>
      </c>
      <c r="M67" t="s">
        <v>83</v>
      </c>
      <c r="N67" s="7" t="s">
        <v>84</v>
      </c>
      <c r="O67" s="25" t="s">
        <v>85</v>
      </c>
      <c r="P67" s="25" t="s">
        <v>86</v>
      </c>
      <c r="R67" t="s">
        <v>83</v>
      </c>
      <c r="S67" s="7" t="s">
        <v>84</v>
      </c>
      <c r="T67" s="25" t="s">
        <v>85</v>
      </c>
      <c r="U67" s="25" t="s">
        <v>86</v>
      </c>
    </row>
    <row r="68" spans="1:21">
      <c r="A68" s="42" t="str">
        <f>IF('CSs and Loads'!A215=1,"yes","no")</f>
        <v>no</v>
      </c>
      <c r="B68" s="68" t="s">
        <v>79</v>
      </c>
      <c r="C68" s="69">
        <f>H68+I68+J68+K68</f>
        <v>5.0000000000000001E-3</v>
      </c>
      <c r="D68" s="69">
        <f>SQRT(H68^2+I68^2+J68^2+K68^2)</f>
        <v>5.0000000000000001E-3</v>
      </c>
      <c r="E68" s="46">
        <f>M68+N68+O68+P68</f>
        <v>0</v>
      </c>
      <c r="F68" s="46">
        <f>R68+S68+T68+U68</f>
        <v>0</v>
      </c>
      <c r="G68" s="68" t="s">
        <v>79</v>
      </c>
      <c r="H68" s="47">
        <f>'CSs and Loads'!T213</f>
        <v>5.0000000000000001E-3</v>
      </c>
      <c r="I68" s="47">
        <f>'CSs and Loads'!U213</f>
        <v>0</v>
      </c>
      <c r="J68" s="47">
        <f>'CSs and Loads'!V213</f>
        <v>0</v>
      </c>
      <c r="K68" s="47">
        <f>'CSs and Loads'!W213</f>
        <v>0</v>
      </c>
      <c r="L68" s="68" t="s">
        <v>79</v>
      </c>
      <c r="M68" s="47">
        <f>'CSs and Loads'!T220</f>
        <v>0</v>
      </c>
      <c r="N68" s="47">
        <f>'CSs and Loads'!U220</f>
        <v>0</v>
      </c>
      <c r="O68" s="47">
        <f>'CSs and Loads'!V220</f>
        <v>0</v>
      </c>
      <c r="P68" s="47">
        <f>'CSs and Loads'!W220</f>
        <v>0</v>
      </c>
      <c r="Q68" s="68" t="s">
        <v>79</v>
      </c>
      <c r="R68" s="47">
        <f>'CSs and Loads'!Y220</f>
        <v>0</v>
      </c>
      <c r="S68" s="47">
        <f>'CSs and Loads'!Z220</f>
        <v>0</v>
      </c>
      <c r="T68" s="47">
        <f>'CSs and Loads'!AA220</f>
        <v>0</v>
      </c>
      <c r="U68" s="47">
        <f>'CSs and Loads'!AB220</f>
        <v>0</v>
      </c>
    </row>
    <row r="69" spans="1:21">
      <c r="A69" s="42">
        <f>'CSs and Loads'!A215</f>
        <v>0</v>
      </c>
      <c r="B69" s="68" t="s">
        <v>106</v>
      </c>
      <c r="C69" s="69">
        <f t="shared" ref="C69:C70" si="25">H69+I69+J69+K69</f>
        <v>5.0000000000000001E-3</v>
      </c>
      <c r="D69" s="69">
        <f t="shared" ref="D69:D70" si="26">SQRT(H69^2+I69^2+J69^2+K69^2)</f>
        <v>5.0000000000000001E-3</v>
      </c>
      <c r="E69" s="46">
        <f t="shared" ref="E69:E70" si="27">M69+N69+O69+P69</f>
        <v>0</v>
      </c>
      <c r="F69" s="46">
        <f t="shared" ref="F69:F70" si="28">R69+S69+T69+U69</f>
        <v>0</v>
      </c>
      <c r="G69" s="68" t="s">
        <v>106</v>
      </c>
      <c r="H69" s="47">
        <f>'CSs and Loads'!T214</f>
        <v>5.0000000000000001E-3</v>
      </c>
      <c r="I69" s="47">
        <f>'CSs and Loads'!U214</f>
        <v>0</v>
      </c>
      <c r="J69" s="47">
        <f>'CSs and Loads'!V214</f>
        <v>0</v>
      </c>
      <c r="K69" s="47">
        <f>'CSs and Loads'!W214</f>
        <v>0</v>
      </c>
      <c r="L69" s="68" t="s">
        <v>106</v>
      </c>
      <c r="M69" s="47">
        <f>'CSs and Loads'!T221</f>
        <v>0</v>
      </c>
      <c r="N69" s="47">
        <f>'CSs and Loads'!U221</f>
        <v>0</v>
      </c>
      <c r="O69" s="47">
        <f>'CSs and Loads'!V221</f>
        <v>0</v>
      </c>
      <c r="P69" s="47">
        <f>'CSs and Loads'!W221</f>
        <v>0</v>
      </c>
      <c r="Q69" s="68" t="s">
        <v>106</v>
      </c>
      <c r="R69" s="47">
        <f>'CSs and Loads'!Y221</f>
        <v>0</v>
      </c>
      <c r="S69" s="47">
        <f>'CSs and Loads'!Z221</f>
        <v>0</v>
      </c>
      <c r="T69" s="47">
        <f>'CSs and Loads'!AA221</f>
        <v>0</v>
      </c>
      <c r="U69" s="47">
        <f>'CSs and Loads'!AB221</f>
        <v>0</v>
      </c>
    </row>
    <row r="70" spans="1:21" s="50" customFormat="1" ht="17" thickBot="1">
      <c r="B70" s="70" t="s">
        <v>107</v>
      </c>
      <c r="C70" s="71">
        <f t="shared" si="25"/>
        <v>5.0000000000000001E-3</v>
      </c>
      <c r="D70" s="71">
        <f t="shared" si="26"/>
        <v>5.0000000000000001E-3</v>
      </c>
      <c r="E70" s="72">
        <f t="shared" si="27"/>
        <v>0</v>
      </c>
      <c r="F70" s="72">
        <f t="shared" si="28"/>
        <v>1.1872015414934272E-2</v>
      </c>
      <c r="G70" s="70" t="s">
        <v>107</v>
      </c>
      <c r="H70" s="73">
        <f>'CSs and Loads'!T215</f>
        <v>5.0000000000000001E-3</v>
      </c>
      <c r="I70" s="73">
        <f>'CSs and Loads'!U215</f>
        <v>0</v>
      </c>
      <c r="J70" s="73">
        <f>'CSs and Loads'!V215</f>
        <v>0</v>
      </c>
      <c r="K70" s="73">
        <f>'CSs and Loads'!W215</f>
        <v>0</v>
      </c>
      <c r="L70" s="70" t="s">
        <v>107</v>
      </c>
      <c r="M70" s="73">
        <f>'CSs and Loads'!T222</f>
        <v>0</v>
      </c>
      <c r="N70" s="73">
        <f>'CSs and Loads'!U222</f>
        <v>0</v>
      </c>
      <c r="O70" s="73">
        <f>'CSs and Loads'!V222</f>
        <v>0</v>
      </c>
      <c r="P70" s="73">
        <f>'CSs and Loads'!W222</f>
        <v>0</v>
      </c>
      <c r="Q70" s="70" t="s">
        <v>107</v>
      </c>
      <c r="R70" s="73">
        <f>'CSs and Loads'!Y222</f>
        <v>1.1872015414934272E-2</v>
      </c>
      <c r="S70" s="73">
        <f>'CSs and Loads'!Z222</f>
        <v>0</v>
      </c>
      <c r="T70" s="73">
        <f>'CSs and Loads'!AA222</f>
        <v>0</v>
      </c>
      <c r="U70" s="73">
        <f>'CSs and Loads'!AB222</f>
        <v>0</v>
      </c>
    </row>
    <row r="72" spans="1:21">
      <c r="A72" s="22" t="s">
        <v>122</v>
      </c>
      <c r="B72" s="9" t="str">
        <f>'CSs and Loads'!A253</f>
        <v>Not used</v>
      </c>
      <c r="C72" s="336" t="s">
        <v>144</v>
      </c>
      <c r="D72" s="336"/>
      <c r="E72" s="336"/>
      <c r="F72" s="343" t="s">
        <v>145</v>
      </c>
    </row>
    <row r="73" spans="1:21">
      <c r="A73" s="42">
        <f>A66+1</f>
        <v>8</v>
      </c>
      <c r="C73" s="331" t="s">
        <v>103</v>
      </c>
      <c r="D73" s="331"/>
      <c r="E73" s="25" t="s">
        <v>104</v>
      </c>
      <c r="F73" s="343"/>
      <c r="G73" s="33" t="s">
        <v>128</v>
      </c>
      <c r="L73" s="33" t="s">
        <v>129</v>
      </c>
      <c r="Q73" s="33" t="s">
        <v>142</v>
      </c>
    </row>
    <row r="74" spans="1:21">
      <c r="A74" s="22" t="s">
        <v>147</v>
      </c>
      <c r="C74" s="26" t="s">
        <v>143</v>
      </c>
      <c r="D74" s="26" t="s">
        <v>7</v>
      </c>
      <c r="E74" s="25" t="s">
        <v>143</v>
      </c>
      <c r="F74" s="25" t="s">
        <v>143</v>
      </c>
      <c r="H74" t="s">
        <v>83</v>
      </c>
      <c r="I74" s="7" t="s">
        <v>84</v>
      </c>
      <c r="J74" s="25" t="s">
        <v>85</v>
      </c>
      <c r="K74" s="25" t="s">
        <v>86</v>
      </c>
      <c r="M74" t="s">
        <v>83</v>
      </c>
      <c r="N74" s="7" t="s">
        <v>84</v>
      </c>
      <c r="O74" s="25" t="s">
        <v>85</v>
      </c>
      <c r="P74" s="25" t="s">
        <v>86</v>
      </c>
      <c r="R74" t="s">
        <v>83</v>
      </c>
      <c r="S74" s="7" t="s">
        <v>84</v>
      </c>
      <c r="T74" s="25" t="s">
        <v>85</v>
      </c>
      <c r="U74" s="25" t="s">
        <v>86</v>
      </c>
    </row>
    <row r="75" spans="1:21">
      <c r="A75" s="42" t="str">
        <f>IF('CSs and Loads'!A248=1,"yes","no")</f>
        <v>no</v>
      </c>
      <c r="B75" s="68" t="s">
        <v>79</v>
      </c>
      <c r="C75" s="69">
        <f>H75+I75+J75+K75</f>
        <v>5.0000000000000001E-3</v>
      </c>
      <c r="D75" s="69">
        <f>SQRT(H75^2+I75^2+J75^2+K75^2)</f>
        <v>5.0000000000000001E-3</v>
      </c>
      <c r="E75" s="46">
        <f>M75+N75+O75+P75</f>
        <v>0</v>
      </c>
      <c r="F75" s="46">
        <f>R75+S75+T75+U75</f>
        <v>0</v>
      </c>
      <c r="G75" s="68" t="s">
        <v>79</v>
      </c>
      <c r="H75" s="47">
        <f>'CSs and Loads'!T246</f>
        <v>5.0000000000000001E-3</v>
      </c>
      <c r="I75" s="47">
        <f>'CSs and Loads'!U246</f>
        <v>0</v>
      </c>
      <c r="J75" s="47">
        <f>'CSs and Loads'!V246</f>
        <v>0</v>
      </c>
      <c r="K75" s="47">
        <f>'CSs and Loads'!W246</f>
        <v>0</v>
      </c>
      <c r="L75" s="68" t="s">
        <v>79</v>
      </c>
      <c r="M75" s="47">
        <f>'CSs and Loads'!T253</f>
        <v>0</v>
      </c>
      <c r="N75" s="47">
        <f>'CSs and Loads'!U253</f>
        <v>0</v>
      </c>
      <c r="O75" s="47">
        <f>'CSs and Loads'!V253</f>
        <v>0</v>
      </c>
      <c r="P75" s="47">
        <f>'CSs and Loads'!W253</f>
        <v>0</v>
      </c>
      <c r="Q75" s="68" t="s">
        <v>79</v>
      </c>
      <c r="R75" s="47">
        <f>'CSs and Loads'!Y253</f>
        <v>0</v>
      </c>
      <c r="S75" s="47">
        <f>'CSs and Loads'!Z253</f>
        <v>0</v>
      </c>
      <c r="T75" s="47">
        <f>'CSs and Loads'!AA253</f>
        <v>0</v>
      </c>
      <c r="U75" s="47">
        <f>'CSs and Loads'!AB253</f>
        <v>0</v>
      </c>
    </row>
    <row r="76" spans="1:21">
      <c r="A76" s="42">
        <f>'CSs and Loads'!A248</f>
        <v>0</v>
      </c>
      <c r="B76" s="68" t="s">
        <v>106</v>
      </c>
      <c r="C76" s="69">
        <f t="shared" ref="C76:C77" si="29">H76+I76+J76+K76</f>
        <v>5.0000000000000001E-3</v>
      </c>
      <c r="D76" s="69">
        <f t="shared" ref="D76:D77" si="30">SQRT(H76^2+I76^2+J76^2+K76^2)</f>
        <v>5.0000000000000001E-3</v>
      </c>
      <c r="E76" s="46">
        <f t="shared" ref="E76:E77" si="31">M76+N76+O76+P76</f>
        <v>0</v>
      </c>
      <c r="F76" s="46">
        <f t="shared" ref="F76:F77" si="32">R76+S76+T76+U76</f>
        <v>0</v>
      </c>
      <c r="G76" s="68" t="s">
        <v>106</v>
      </c>
      <c r="H76" s="47">
        <f>'CSs and Loads'!T247</f>
        <v>5.0000000000000001E-3</v>
      </c>
      <c r="I76" s="47">
        <f>'CSs and Loads'!U247</f>
        <v>0</v>
      </c>
      <c r="J76" s="47">
        <f>'CSs and Loads'!V247</f>
        <v>0</v>
      </c>
      <c r="K76" s="47">
        <f>'CSs and Loads'!W247</f>
        <v>0</v>
      </c>
      <c r="L76" s="68" t="s">
        <v>106</v>
      </c>
      <c r="M76" s="47">
        <f>'CSs and Loads'!T254</f>
        <v>0</v>
      </c>
      <c r="N76" s="47">
        <f>'CSs and Loads'!U254</f>
        <v>0</v>
      </c>
      <c r="O76" s="47">
        <f>'CSs and Loads'!V254</f>
        <v>0</v>
      </c>
      <c r="P76" s="47">
        <f>'CSs and Loads'!W254</f>
        <v>0</v>
      </c>
      <c r="Q76" s="68" t="s">
        <v>106</v>
      </c>
      <c r="R76" s="47">
        <f>'CSs and Loads'!Y254</f>
        <v>0</v>
      </c>
      <c r="S76" s="47">
        <f>'CSs and Loads'!Z254</f>
        <v>0</v>
      </c>
      <c r="T76" s="47">
        <f>'CSs and Loads'!AA254</f>
        <v>0</v>
      </c>
      <c r="U76" s="47">
        <f>'CSs and Loads'!AB254</f>
        <v>0</v>
      </c>
    </row>
    <row r="77" spans="1:21" s="50" customFormat="1" ht="17" thickBot="1">
      <c r="B77" s="70" t="s">
        <v>107</v>
      </c>
      <c r="C77" s="71">
        <f t="shared" si="29"/>
        <v>5.0000000000000001E-3</v>
      </c>
      <c r="D77" s="71">
        <f t="shared" si="30"/>
        <v>5.0000000000000001E-3</v>
      </c>
      <c r="E77" s="72">
        <f t="shared" si="31"/>
        <v>0</v>
      </c>
      <c r="F77" s="72">
        <f t="shared" si="32"/>
        <v>-7.0324574961360125E-4</v>
      </c>
      <c r="G77" s="70" t="s">
        <v>107</v>
      </c>
      <c r="H77" s="73">
        <f>'CSs and Loads'!T248</f>
        <v>5.0000000000000001E-3</v>
      </c>
      <c r="I77" s="73">
        <f>'CSs and Loads'!U248</f>
        <v>0</v>
      </c>
      <c r="J77" s="73">
        <f>'CSs and Loads'!V248</f>
        <v>0</v>
      </c>
      <c r="K77" s="73">
        <f>'CSs and Loads'!W248</f>
        <v>0</v>
      </c>
      <c r="L77" s="70" t="s">
        <v>107</v>
      </c>
      <c r="M77" s="73">
        <f>'CSs and Loads'!T255</f>
        <v>0</v>
      </c>
      <c r="N77" s="73">
        <f>'CSs and Loads'!U255</f>
        <v>0</v>
      </c>
      <c r="O77" s="73">
        <f>'CSs and Loads'!V255</f>
        <v>0</v>
      </c>
      <c r="P77" s="73">
        <f>'CSs and Loads'!W255</f>
        <v>0</v>
      </c>
      <c r="Q77" s="70" t="s">
        <v>107</v>
      </c>
      <c r="R77" s="73">
        <f>'CSs and Loads'!Y255</f>
        <v>-7.0324574961360125E-4</v>
      </c>
      <c r="S77" s="73">
        <f>'CSs and Loads'!Z255</f>
        <v>0</v>
      </c>
      <c r="T77" s="73">
        <f>'CSs and Loads'!AA255</f>
        <v>0</v>
      </c>
      <c r="U77" s="73">
        <f>'CSs and Loads'!AB255</f>
        <v>0</v>
      </c>
    </row>
    <row r="79" spans="1:21">
      <c r="A79" s="22" t="s">
        <v>122</v>
      </c>
      <c r="B79" s="9" t="str">
        <f>'CSs and Loads'!A286</f>
        <v>Not Used</v>
      </c>
      <c r="C79" s="336" t="s">
        <v>144</v>
      </c>
      <c r="D79" s="336"/>
      <c r="E79" s="336"/>
      <c r="F79" s="343" t="s">
        <v>145</v>
      </c>
    </row>
    <row r="80" spans="1:21">
      <c r="A80" s="42">
        <f>A73+1</f>
        <v>9</v>
      </c>
      <c r="C80" s="331" t="s">
        <v>103</v>
      </c>
      <c r="D80" s="331"/>
      <c r="E80" s="25" t="s">
        <v>104</v>
      </c>
      <c r="F80" s="343"/>
      <c r="G80" s="33" t="s">
        <v>128</v>
      </c>
      <c r="L80" s="33" t="s">
        <v>129</v>
      </c>
      <c r="Q80" s="33" t="s">
        <v>142</v>
      </c>
    </row>
    <row r="81" spans="1:21">
      <c r="A81" s="22" t="s">
        <v>147</v>
      </c>
      <c r="C81" s="26" t="s">
        <v>143</v>
      </c>
      <c r="D81" s="26" t="s">
        <v>7</v>
      </c>
      <c r="E81" s="25" t="s">
        <v>143</v>
      </c>
      <c r="F81" s="25" t="s">
        <v>143</v>
      </c>
      <c r="H81" t="s">
        <v>83</v>
      </c>
      <c r="I81" s="7" t="s">
        <v>84</v>
      </c>
      <c r="J81" s="25" t="s">
        <v>85</v>
      </c>
      <c r="K81" s="25" t="s">
        <v>86</v>
      </c>
      <c r="M81" t="s">
        <v>83</v>
      </c>
      <c r="N81" s="7" t="s">
        <v>84</v>
      </c>
      <c r="O81" s="25" t="s">
        <v>85</v>
      </c>
      <c r="P81" s="25" t="s">
        <v>86</v>
      </c>
      <c r="R81" t="s">
        <v>83</v>
      </c>
      <c r="S81" s="7" t="s">
        <v>84</v>
      </c>
      <c r="T81" s="25" t="s">
        <v>85</v>
      </c>
      <c r="U81" s="25" t="s">
        <v>86</v>
      </c>
    </row>
    <row r="82" spans="1:21">
      <c r="A82" s="42" t="str">
        <f>IF('CSs and Loads'!A281=1,"yes","no")</f>
        <v>no</v>
      </c>
      <c r="B82" s="68" t="s">
        <v>79</v>
      </c>
      <c r="C82" s="69">
        <f>H82+I82+J82+K82</f>
        <v>5.0000999999993924E-3</v>
      </c>
      <c r="D82" s="69">
        <f>SQRT(H82^2+I82^2+J82^2+K82^2)</f>
        <v>5.0000000005000003E-3</v>
      </c>
      <c r="E82" s="46">
        <f>M82+N82+O82+P82</f>
        <v>0</v>
      </c>
      <c r="F82" s="46">
        <f>R82+S82+T82+U82</f>
        <v>-2.5602624002949389E-8</v>
      </c>
      <c r="G82" s="68" t="s">
        <v>79</v>
      </c>
      <c r="H82" s="47">
        <f>'CSs and Loads'!T279</f>
        <v>5.0000000000000001E-3</v>
      </c>
      <c r="I82" s="47">
        <f>'CSs and Loads'!U279</f>
        <v>0</v>
      </c>
      <c r="J82" s="47">
        <f>'CSs and Loads'!V279</f>
        <v>4.9999998807948032E-8</v>
      </c>
      <c r="K82" s="47">
        <f>'CSs and Loads'!W279</f>
        <v>5.0000000584304878E-8</v>
      </c>
      <c r="L82" s="68" t="s">
        <v>79</v>
      </c>
      <c r="M82" s="47">
        <f>'CSs and Loads'!T286</f>
        <v>0</v>
      </c>
      <c r="N82" s="47">
        <f>'CSs and Loads'!U286</f>
        <v>0</v>
      </c>
      <c r="O82" s="47">
        <f>'CSs and Loads'!V286</f>
        <v>0</v>
      </c>
      <c r="P82" s="47">
        <f>'CSs and Loads'!W286</f>
        <v>0</v>
      </c>
      <c r="Q82" s="68" t="s">
        <v>79</v>
      </c>
      <c r="R82" s="47">
        <f>'CSs and Loads'!Y286</f>
        <v>0</v>
      </c>
      <c r="S82" s="47">
        <f>'CSs and Loads'!Z286</f>
        <v>0</v>
      </c>
      <c r="T82" s="47">
        <f>'CSs and Loads'!AA286</f>
        <v>-2.5602624002949389E-8</v>
      </c>
      <c r="U82" s="47">
        <f>'CSs and Loads'!AB286</f>
        <v>0</v>
      </c>
    </row>
    <row r="83" spans="1:21">
      <c r="A83" s="42">
        <f>'CSs and Loads'!A281</f>
        <v>0</v>
      </c>
      <c r="B83" s="68" t="s">
        <v>106</v>
      </c>
      <c r="C83" s="69">
        <f t="shared" ref="C83:C84" si="33">H83+I83+J83+K83</f>
        <v>5.9999999983333342E-3</v>
      </c>
      <c r="D83" s="69">
        <f t="shared" ref="D83:D84" si="34">SQRT(H83^2+I83^2+J83^2+K83^2)</f>
        <v>5.0990195132659252E-3</v>
      </c>
      <c r="E83" s="46">
        <f t="shared" ref="E83:E84" si="35">M83+N83+O83+P83</f>
        <v>0</v>
      </c>
      <c r="F83" s="46">
        <f t="shared" ref="F83:F84" si="36">R83+S83+T83+U83</f>
        <v>0</v>
      </c>
      <c r="G83" s="68" t="s">
        <v>106</v>
      </c>
      <c r="H83" s="47">
        <f>'CSs and Loads'!T280</f>
        <v>5.0000000000000001E-3</v>
      </c>
      <c r="I83" s="47">
        <f>'CSs and Loads'!U280</f>
        <v>0</v>
      </c>
      <c r="J83" s="47">
        <f>'CSs and Loads'!V280</f>
        <v>0</v>
      </c>
      <c r="K83" s="47">
        <f>'CSs and Loads'!W280</f>
        <v>9.9999999833333408E-4</v>
      </c>
      <c r="L83" s="68" t="s">
        <v>106</v>
      </c>
      <c r="M83" s="47">
        <f>'CSs and Loads'!T287</f>
        <v>0</v>
      </c>
      <c r="N83" s="47">
        <f>'CSs and Loads'!U287</f>
        <v>0</v>
      </c>
      <c r="O83" s="47">
        <f>'CSs and Loads'!V287</f>
        <v>0</v>
      </c>
      <c r="P83" s="47">
        <f>'CSs and Loads'!W287</f>
        <v>0</v>
      </c>
      <c r="Q83" s="68" t="s">
        <v>106</v>
      </c>
      <c r="R83" s="47">
        <f>'CSs and Loads'!Y287</f>
        <v>0</v>
      </c>
      <c r="S83" s="47">
        <f>'CSs and Loads'!Z287</f>
        <v>0</v>
      </c>
      <c r="T83" s="47">
        <f>'CSs and Loads'!AA287</f>
        <v>0</v>
      </c>
      <c r="U83" s="47">
        <f>'CSs and Loads'!AB287</f>
        <v>0</v>
      </c>
    </row>
    <row r="84" spans="1:21" s="50" customFormat="1" ht="17" thickBot="1">
      <c r="B84" s="70" t="s">
        <v>107</v>
      </c>
      <c r="C84" s="71">
        <f t="shared" si="33"/>
        <v>5.9999999883333342E-3</v>
      </c>
      <c r="D84" s="71">
        <f t="shared" si="34"/>
        <v>5.0990195113047639E-3</v>
      </c>
      <c r="E84" s="72">
        <f t="shared" si="35"/>
        <v>0</v>
      </c>
      <c r="F84" s="72">
        <f t="shared" si="36"/>
        <v>-1.2152982359065073E-3</v>
      </c>
      <c r="G84" s="70" t="s">
        <v>107</v>
      </c>
      <c r="H84" s="73">
        <f>'CSs and Loads'!T281</f>
        <v>5.0000000000000001E-3</v>
      </c>
      <c r="I84" s="73">
        <f>'CSs and Loads'!U281</f>
        <v>0</v>
      </c>
      <c r="J84" s="73">
        <f>'CSs and Loads'!V281</f>
        <v>9.9999998833333412E-4</v>
      </c>
      <c r="K84" s="73">
        <f>'CSs and Loads'!W281</f>
        <v>0</v>
      </c>
      <c r="L84" s="70" t="s">
        <v>107</v>
      </c>
      <c r="M84" s="73">
        <f>'CSs and Loads'!T288</f>
        <v>0</v>
      </c>
      <c r="N84" s="73">
        <f>'CSs and Loads'!U288</f>
        <v>0</v>
      </c>
      <c r="O84" s="73">
        <f>'CSs and Loads'!V288</f>
        <v>0</v>
      </c>
      <c r="P84" s="73">
        <f>'CSs and Loads'!W288</f>
        <v>0</v>
      </c>
      <c r="Q84" s="70" t="s">
        <v>107</v>
      </c>
      <c r="R84" s="73">
        <f>'CSs and Loads'!Y288</f>
        <v>-7.0324574961360125E-4</v>
      </c>
      <c r="S84" s="73">
        <f>'CSs and Loads'!Z288</f>
        <v>0</v>
      </c>
      <c r="T84" s="73">
        <f>'CSs and Loads'!AA288</f>
        <v>-5.1205248629290605E-4</v>
      </c>
      <c r="U84" s="73">
        <f>'CSs and Loads'!AB288</f>
        <v>0</v>
      </c>
    </row>
    <row r="86" spans="1:21">
      <c r="A86" s="22" t="s">
        <v>122</v>
      </c>
      <c r="B86" s="9" t="str">
        <f>'CSs and Loads'!A319</f>
        <v>Not Used</v>
      </c>
      <c r="C86" s="336" t="s">
        <v>144</v>
      </c>
      <c r="D86" s="336"/>
      <c r="E86" s="336"/>
      <c r="F86" s="343" t="s">
        <v>145</v>
      </c>
    </row>
    <row r="87" spans="1:21">
      <c r="A87" s="42">
        <f>A80+1</f>
        <v>10</v>
      </c>
      <c r="C87" s="331" t="s">
        <v>103</v>
      </c>
      <c r="D87" s="331"/>
      <c r="E87" s="25" t="s">
        <v>104</v>
      </c>
      <c r="F87" s="343"/>
      <c r="G87" s="33" t="s">
        <v>128</v>
      </c>
      <c r="L87" s="33" t="s">
        <v>129</v>
      </c>
      <c r="Q87" s="33" t="s">
        <v>142</v>
      </c>
    </row>
    <row r="88" spans="1:21">
      <c r="A88" s="22" t="s">
        <v>147</v>
      </c>
      <c r="C88" s="26" t="s">
        <v>143</v>
      </c>
      <c r="D88" s="26" t="s">
        <v>7</v>
      </c>
      <c r="E88" s="25" t="s">
        <v>143</v>
      </c>
      <c r="F88" s="25" t="s">
        <v>143</v>
      </c>
      <c r="H88" t="s">
        <v>83</v>
      </c>
      <c r="I88" s="7" t="s">
        <v>84</v>
      </c>
      <c r="J88" s="25" t="s">
        <v>85</v>
      </c>
      <c r="K88" s="25" t="s">
        <v>86</v>
      </c>
      <c r="M88" t="s">
        <v>83</v>
      </c>
      <c r="N88" s="7" t="s">
        <v>84</v>
      </c>
      <c r="O88" s="25" t="s">
        <v>85</v>
      </c>
      <c r="P88" s="25" t="s">
        <v>86</v>
      </c>
      <c r="R88" t="s">
        <v>83</v>
      </c>
      <c r="S88" s="7" t="s">
        <v>84</v>
      </c>
      <c r="T88" s="25" t="s">
        <v>85</v>
      </c>
      <c r="U88" s="25" t="s">
        <v>86</v>
      </c>
    </row>
    <row r="89" spans="1:21">
      <c r="A89" s="42" t="str">
        <f>IF('CSs and Loads'!A314=1,"yes","no")</f>
        <v>no</v>
      </c>
      <c r="B89" s="68" t="s">
        <v>79</v>
      </c>
      <c r="C89" s="69">
        <f>H89+I89+J89+K89</f>
        <v>5.0001999999987846E-3</v>
      </c>
      <c r="D89" s="69">
        <f>SQRT(H89^2+I89^2+J89^2+K89^2)</f>
        <v>5.0000000020000001E-3</v>
      </c>
      <c r="E89" s="46">
        <f>M89+N89+O89+P89</f>
        <v>0</v>
      </c>
      <c r="F89" s="46">
        <f>R89+S89+T89+U89</f>
        <v>-5.3960823149918164E-8</v>
      </c>
      <c r="G89" s="68" t="s">
        <v>79</v>
      </c>
      <c r="H89" s="47">
        <f>'CSs and Loads'!T312</f>
        <v>5.0000000000000001E-3</v>
      </c>
      <c r="I89" s="47">
        <f>'CSs and Loads'!U312</f>
        <v>0</v>
      </c>
      <c r="J89" s="47">
        <f>'CSs and Loads'!V312</f>
        <v>9.9999997615896064E-8</v>
      </c>
      <c r="K89" s="47">
        <f>'CSs and Loads'!W312</f>
        <v>1.0000000116860976E-7</v>
      </c>
      <c r="L89" s="68" t="s">
        <v>79</v>
      </c>
      <c r="M89" s="47">
        <f>'CSs and Loads'!T319</f>
        <v>0</v>
      </c>
      <c r="N89" s="47">
        <f>'CSs and Loads'!U319</f>
        <v>0</v>
      </c>
      <c r="O89" s="47">
        <f>'CSs and Loads'!V319</f>
        <v>0</v>
      </c>
      <c r="P89" s="47">
        <f>'CSs and Loads'!W319</f>
        <v>0</v>
      </c>
      <c r="Q89" s="68" t="s">
        <v>79</v>
      </c>
      <c r="R89" s="47">
        <f>'CSs and Loads'!Y319</f>
        <v>0</v>
      </c>
      <c r="S89" s="47">
        <f>'CSs and Loads'!Z319</f>
        <v>0</v>
      </c>
      <c r="T89" s="47">
        <f>'CSs and Loads'!AA319</f>
        <v>-5.3960823149918164E-8</v>
      </c>
      <c r="U89" s="47">
        <f>'CSs and Loads'!AB319</f>
        <v>0</v>
      </c>
    </row>
    <row r="90" spans="1:21">
      <c r="A90" s="42">
        <f>'CSs and Loads'!A314</f>
        <v>0</v>
      </c>
      <c r="B90" s="68" t="s">
        <v>106</v>
      </c>
      <c r="C90" s="69">
        <f t="shared" ref="C90:C91" si="37">H90+I90+J90+K90</f>
        <v>6.9999999966666683E-3</v>
      </c>
      <c r="D90" s="69">
        <f t="shared" ref="D90:D91" si="38">SQRT(H90^2+I90^2+J90^2+K90^2)</f>
        <v>5.3851648058965357E-3</v>
      </c>
      <c r="E90" s="46">
        <f t="shared" ref="E90:E91" si="39">M90+N90+O90+P90</f>
        <v>0</v>
      </c>
      <c r="F90" s="46">
        <f t="shared" ref="F90:F91" si="40">R90+S90+T90+U90</f>
        <v>0</v>
      </c>
      <c r="G90" s="68" t="s">
        <v>106</v>
      </c>
      <c r="H90" s="47">
        <f>'CSs and Loads'!T313</f>
        <v>5.0000000000000001E-3</v>
      </c>
      <c r="I90" s="47">
        <f>'CSs and Loads'!U313</f>
        <v>0</v>
      </c>
      <c r="J90" s="47">
        <f>'CSs and Loads'!V313</f>
        <v>0</v>
      </c>
      <c r="K90" s="47">
        <f>'CSs and Loads'!W313</f>
        <v>1.9999999966666682E-3</v>
      </c>
      <c r="L90" s="68" t="s">
        <v>106</v>
      </c>
      <c r="M90" s="47">
        <f>'CSs and Loads'!T320</f>
        <v>0</v>
      </c>
      <c r="N90" s="47">
        <f>'CSs and Loads'!U320</f>
        <v>0</v>
      </c>
      <c r="O90" s="47">
        <f>'CSs and Loads'!V320</f>
        <v>0</v>
      </c>
      <c r="P90" s="47">
        <f>'CSs and Loads'!W320</f>
        <v>0</v>
      </c>
      <c r="Q90" s="68" t="s">
        <v>106</v>
      </c>
      <c r="R90" s="47">
        <f>'CSs and Loads'!Y320</f>
        <v>0</v>
      </c>
      <c r="S90" s="47">
        <f>'CSs and Loads'!Z320</f>
        <v>0</v>
      </c>
      <c r="T90" s="47">
        <f>'CSs and Loads'!AA320</f>
        <v>0</v>
      </c>
      <c r="U90" s="47">
        <f>'CSs and Loads'!AB320</f>
        <v>0</v>
      </c>
    </row>
    <row r="91" spans="1:21" s="50" customFormat="1" ht="17" thickBot="1">
      <c r="B91" s="70" t="s">
        <v>107</v>
      </c>
      <c r="C91" s="71">
        <f t="shared" si="37"/>
        <v>6.9999999766666684E-3</v>
      </c>
      <c r="D91" s="71">
        <f t="shared" si="38"/>
        <v>5.3851647984687221E-3</v>
      </c>
      <c r="E91" s="72">
        <f t="shared" si="39"/>
        <v>0</v>
      </c>
      <c r="F91" s="72">
        <f t="shared" si="40"/>
        <v>-1.7824622257507491E-3</v>
      </c>
      <c r="G91" s="70" t="s">
        <v>107</v>
      </c>
      <c r="H91" s="73">
        <f>'CSs and Loads'!T314</f>
        <v>5.0000000000000001E-3</v>
      </c>
      <c r="I91" s="73">
        <f>'CSs and Loads'!U314</f>
        <v>0</v>
      </c>
      <c r="J91" s="73">
        <f>'CSs and Loads'!V314</f>
        <v>1.9999999766666682E-3</v>
      </c>
      <c r="K91" s="73">
        <f>'CSs and Loads'!W314</f>
        <v>0</v>
      </c>
      <c r="L91" s="70" t="s">
        <v>107</v>
      </c>
      <c r="M91" s="73">
        <f>'CSs and Loads'!T321</f>
        <v>0</v>
      </c>
      <c r="N91" s="73">
        <f>'CSs and Loads'!U321</f>
        <v>0</v>
      </c>
      <c r="O91" s="73">
        <f>'CSs and Loads'!V321</f>
        <v>0</v>
      </c>
      <c r="P91" s="73">
        <f>'CSs and Loads'!W321</f>
        <v>0</v>
      </c>
      <c r="Q91" s="70" t="s">
        <v>107</v>
      </c>
      <c r="R91" s="73">
        <f>'CSs and Loads'!Y321</f>
        <v>-7.0324574961360125E-4</v>
      </c>
      <c r="S91" s="73">
        <f>'CSs and Loads'!Z321</f>
        <v>0</v>
      </c>
      <c r="T91" s="73">
        <f>'CSs and Loads'!AA321</f>
        <v>-1.079216476137148E-3</v>
      </c>
      <c r="U91" s="73">
        <f>'CSs and Loads'!AB321</f>
        <v>0</v>
      </c>
    </row>
  </sheetData>
  <mergeCells count="41">
    <mergeCell ref="F44:F45"/>
    <mergeCell ref="C51:E51"/>
    <mergeCell ref="F51:F52"/>
    <mergeCell ref="C23:E23"/>
    <mergeCell ref="A6:B6"/>
    <mergeCell ref="A7:B7"/>
    <mergeCell ref="A12:A19"/>
    <mergeCell ref="B12:H12"/>
    <mergeCell ref="C79:E79"/>
    <mergeCell ref="F79:F80"/>
    <mergeCell ref="F23:F24"/>
    <mergeCell ref="C30:E30"/>
    <mergeCell ref="F30:F31"/>
    <mergeCell ref="C24:D24"/>
    <mergeCell ref="C31:D31"/>
    <mergeCell ref="C38:D38"/>
    <mergeCell ref="C45:D45"/>
    <mergeCell ref="C52:D52"/>
    <mergeCell ref="C59:D59"/>
    <mergeCell ref="C66:D66"/>
    <mergeCell ref="A4:H4"/>
    <mergeCell ref="A1:H1"/>
    <mergeCell ref="A2:H2"/>
    <mergeCell ref="A3:H3"/>
    <mergeCell ref="F5:H5"/>
    <mergeCell ref="C73:D73"/>
    <mergeCell ref="C80:D80"/>
    <mergeCell ref="C87:D87"/>
    <mergeCell ref="C14:E14"/>
    <mergeCell ref="K12:M12"/>
    <mergeCell ref="C86:E86"/>
    <mergeCell ref="F86:F87"/>
    <mergeCell ref="C58:E58"/>
    <mergeCell ref="F58:F59"/>
    <mergeCell ref="C65:E65"/>
    <mergeCell ref="F65:F66"/>
    <mergeCell ref="C72:E72"/>
    <mergeCell ref="F72:F73"/>
    <mergeCell ref="C37:E37"/>
    <mergeCell ref="F37:F38"/>
    <mergeCell ref="C44:E4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25"/>
  <sheetViews>
    <sheetView topLeftCell="A16" zoomScale="75" zoomScaleNormal="75" zoomScalePageLayoutView="75" workbookViewId="0">
      <selection activeCell="L67" sqref="L67"/>
    </sheetView>
  </sheetViews>
  <sheetFormatPr baseColWidth="10" defaultColWidth="11" defaultRowHeight="16"/>
  <cols>
    <col min="1" max="1" width="45.33203125" style="79" customWidth="1"/>
    <col min="2" max="2" width="22.1640625" style="79" customWidth="1"/>
    <col min="3" max="3" width="47.83203125" style="79" customWidth="1"/>
    <col min="4" max="4" width="12" style="79" customWidth="1"/>
    <col min="5" max="6" width="7.1640625" style="79" customWidth="1"/>
    <col min="7" max="7" width="26.5" style="79" customWidth="1"/>
    <col min="8" max="8" width="13.5" style="79" customWidth="1"/>
    <col min="9" max="9" width="13.6640625" style="79" bestFit="1" customWidth="1"/>
    <col min="10" max="11" width="11" style="79"/>
    <col min="12" max="12" width="16.1640625" style="79" customWidth="1"/>
    <col min="13" max="16384" width="11" style="79"/>
  </cols>
  <sheetData>
    <row r="1" spans="1:18">
      <c r="A1" s="197" t="str">
        <f>'CSs and Loads'!A210</f>
        <v>CS 7</v>
      </c>
      <c r="B1" s="197" t="str">
        <f>'CSs and Loads'!A220</f>
        <v>Not used</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80" t="s">
        <v>305</v>
      </c>
      <c r="B4" s="170" t="s">
        <v>338</v>
      </c>
      <c r="C4" s="80" t="s">
        <v>355</v>
      </c>
      <c r="D4" s="161"/>
      <c r="E4" s="375" t="s">
        <v>341</v>
      </c>
      <c r="F4" s="376"/>
      <c r="G4" s="376"/>
      <c r="H4" s="376"/>
      <c r="I4" s="376"/>
      <c r="J4" s="376"/>
      <c r="K4" s="376"/>
      <c r="L4" s="376"/>
      <c r="M4" s="377"/>
      <c r="N4" s="196"/>
    </row>
    <row r="5" spans="1:18">
      <c r="A5" s="107" t="s">
        <v>325</v>
      </c>
      <c r="B5" s="111" t="s">
        <v>326</v>
      </c>
      <c r="C5" s="96" t="s">
        <v>353</v>
      </c>
      <c r="D5" s="161">
        <v>25</v>
      </c>
      <c r="E5" s="176" t="s">
        <v>268</v>
      </c>
      <c r="F5" s="366" t="s">
        <v>271</v>
      </c>
      <c r="G5" s="149">
        <f>(B12/4)/(B16*B7)</f>
        <v>5.7058085130663014E-7</v>
      </c>
      <c r="H5" s="79">
        <v>0</v>
      </c>
      <c r="I5" s="79">
        <v>0</v>
      </c>
      <c r="J5" s="79">
        <v>0</v>
      </c>
      <c r="K5" s="79">
        <v>0</v>
      </c>
      <c r="L5" s="150">
        <f>-(B11/(3*B7*B18*B12))*(2*B11^2+B12^2-3*B11*B12)</f>
        <v>-9.5798251454259047E-9</v>
      </c>
      <c r="M5" s="177" t="s">
        <v>262</v>
      </c>
      <c r="N5" s="175"/>
    </row>
    <row r="6" spans="1:18">
      <c r="A6" s="107" t="s">
        <v>328</v>
      </c>
      <c r="B6" s="111" t="s">
        <v>272</v>
      </c>
      <c r="C6" s="96" t="s">
        <v>32</v>
      </c>
      <c r="D6" s="161">
        <f>1770*9.8</f>
        <v>17346</v>
      </c>
      <c r="E6" s="176" t="s">
        <v>269</v>
      </c>
      <c r="F6" s="366"/>
      <c r="G6" s="79">
        <v>0</v>
      </c>
      <c r="H6" s="150">
        <f>(B14/4)/(B16*B7)</f>
        <v>5.7058085130663014E-7</v>
      </c>
      <c r="I6" s="79">
        <v>0</v>
      </c>
      <c r="J6" s="79">
        <v>0</v>
      </c>
      <c r="K6" s="145">
        <v>0</v>
      </c>
      <c r="L6" s="79">
        <v>0</v>
      </c>
      <c r="M6" s="177" t="s">
        <v>263</v>
      </c>
      <c r="N6" s="175"/>
    </row>
    <row r="7" spans="1:18">
      <c r="A7" s="96" t="s">
        <v>277</v>
      </c>
      <c r="B7" s="80">
        <f>69000</f>
        <v>69000</v>
      </c>
      <c r="C7" s="96" t="s">
        <v>230</v>
      </c>
      <c r="D7" s="161">
        <f>647*1000</f>
        <v>647000</v>
      </c>
      <c r="E7" s="176" t="s">
        <v>270</v>
      </c>
      <c r="F7" s="366"/>
      <c r="G7" s="79">
        <v>0</v>
      </c>
      <c r="H7" s="79">
        <v>0</v>
      </c>
      <c r="I7" s="150">
        <f>(B11^2/(3*B7*B18*B12))*(B12^2-2*B11*B12+B11^2)</f>
        <v>1.0378143907544729E-6</v>
      </c>
      <c r="J7" s="149">
        <f>I8</f>
        <v>1.0428323944020767E-8</v>
      </c>
      <c r="K7" s="93"/>
      <c r="L7" s="79">
        <v>0</v>
      </c>
      <c r="M7" s="177" t="s">
        <v>264</v>
      </c>
      <c r="N7" s="175"/>
    </row>
    <row r="8" spans="1:18">
      <c r="A8" s="96" t="s">
        <v>273</v>
      </c>
      <c r="B8" s="80">
        <v>0.33400000000000002</v>
      </c>
      <c r="C8" s="96" t="s">
        <v>33</v>
      </c>
      <c r="D8" s="161">
        <v>3</v>
      </c>
      <c r="E8" s="176" t="s">
        <v>259</v>
      </c>
      <c r="F8" s="366"/>
      <c r="G8" s="79">
        <v>0</v>
      </c>
      <c r="H8" s="79">
        <v>0</v>
      </c>
      <c r="I8" s="149">
        <f>(B11/(3*B7*B17*B12))*(2*B11^2-3*B11*B12+B12^2)</f>
        <v>1.0428323944020767E-8</v>
      </c>
      <c r="J8" s="150">
        <f>(1/(3*B7*B17*B12))*(2*B12^2+3*B11^2-3*B11*B12)</f>
        <v>2.3597425334867504E-10</v>
      </c>
      <c r="K8" s="79">
        <v>0</v>
      </c>
      <c r="L8" s="79">
        <v>0</v>
      </c>
      <c r="M8" s="177" t="s">
        <v>265</v>
      </c>
      <c r="N8" s="175"/>
    </row>
    <row r="9" spans="1:18">
      <c r="A9" s="96" t="s">
        <v>278</v>
      </c>
      <c r="B9" s="92">
        <f>B7/(2*(1+B8))</f>
        <v>25862.068965517239</v>
      </c>
      <c r="C9" s="96" t="s">
        <v>34</v>
      </c>
      <c r="D9" s="161">
        <v>0.01</v>
      </c>
      <c r="E9" s="176" t="s">
        <v>261</v>
      </c>
      <c r="F9" s="366"/>
      <c r="G9" s="79">
        <v>0</v>
      </c>
      <c r="H9" s="79">
        <v>0</v>
      </c>
      <c r="I9" s="79">
        <v>0</v>
      </c>
      <c r="J9" s="79">
        <v>0</v>
      </c>
      <c r="K9" s="150">
        <f>(1/(3*B7*B18*B12))*(2*B12^2+3*B11^2-3*B11*B12)</f>
        <v>2.167742484830349E-10</v>
      </c>
      <c r="L9" s="79">
        <v>0</v>
      </c>
      <c r="M9" s="177" t="s">
        <v>266</v>
      </c>
      <c r="N9" s="175"/>
    </row>
    <row r="10" spans="1:18" ht="17" thickBot="1">
      <c r="A10" s="79" t="s">
        <v>330</v>
      </c>
      <c r="B10" s="80"/>
      <c r="C10" s="96" t="s">
        <v>274</v>
      </c>
      <c r="D10" s="229">
        <f>D6/(D8*D9)</f>
        <v>578200</v>
      </c>
      <c r="E10" s="178" t="s">
        <v>260</v>
      </c>
      <c r="F10" s="399"/>
      <c r="G10" s="193">
        <f>L5</f>
        <v>-9.5798251454259047E-9</v>
      </c>
      <c r="H10" s="158">
        <v>0</v>
      </c>
      <c r="I10" s="158">
        <v>0</v>
      </c>
      <c r="J10" s="158">
        <v>0</v>
      </c>
      <c r="K10" s="158">
        <v>0</v>
      </c>
      <c r="L10" s="193">
        <v>0</v>
      </c>
      <c r="M10" s="180" t="s">
        <v>267</v>
      </c>
      <c r="N10" s="175"/>
    </row>
    <row r="11" spans="1:18">
      <c r="A11" s="141" t="s">
        <v>335</v>
      </c>
      <c r="B11" s="81">
        <f>CS_5!B11</f>
        <v>100</v>
      </c>
      <c r="C11" s="96" t="s">
        <v>35</v>
      </c>
      <c r="D11" s="80">
        <v>25</v>
      </c>
      <c r="E11" s="154"/>
      <c r="F11" s="154"/>
      <c r="G11" s="155"/>
      <c r="H11" s="155"/>
      <c r="I11" s="155"/>
      <c r="J11" s="155"/>
      <c r="K11" s="155"/>
      <c r="L11" s="156"/>
      <c r="M11" s="155"/>
    </row>
    <row r="12" spans="1:18">
      <c r="A12" s="96" t="s">
        <v>221</v>
      </c>
      <c r="B12" s="80">
        <f>B14</f>
        <v>1400</v>
      </c>
      <c r="C12" s="96" t="s">
        <v>365</v>
      </c>
      <c r="D12" s="95">
        <f>D7*D11^2/4</f>
        <v>101093750</v>
      </c>
      <c r="E12" s="80"/>
      <c r="F12" s="80"/>
      <c r="L12" s="141"/>
    </row>
    <row r="13" spans="1:18">
      <c r="A13" s="96" t="s">
        <v>349</v>
      </c>
      <c r="B13" s="80">
        <f>6*25.4</f>
        <v>152.39999999999998</v>
      </c>
      <c r="C13" s="96" t="s">
        <v>275</v>
      </c>
      <c r="D13" s="95">
        <f>D7*D11^2/12</f>
        <v>33697916.666666664</v>
      </c>
      <c r="E13" s="80"/>
      <c r="F13" s="80"/>
      <c r="L13" s="141"/>
    </row>
    <row r="14" spans="1:18">
      <c r="A14" s="96" t="s">
        <v>347</v>
      </c>
      <c r="B14" s="80">
        <v>1400</v>
      </c>
      <c r="C14" s="96" t="s">
        <v>276</v>
      </c>
      <c r="D14" s="92">
        <f>D13</f>
        <v>33697916.666666664</v>
      </c>
      <c r="E14" s="80"/>
      <c r="F14" s="80"/>
      <c r="L14" s="141"/>
    </row>
    <row r="15" spans="1:18">
      <c r="A15" s="96" t="s">
        <v>257</v>
      </c>
      <c r="B15" s="80">
        <f>0.125*25.4</f>
        <v>3.1749999999999998</v>
      </c>
      <c r="C15" s="107" t="s">
        <v>354</v>
      </c>
      <c r="D15" s="80"/>
      <c r="E15" s="80"/>
      <c r="F15" s="80"/>
      <c r="L15" s="141"/>
    </row>
    <row r="16" spans="1:18">
      <c r="A16" s="96" t="s">
        <v>258</v>
      </c>
      <c r="B16" s="92">
        <f>2*B15*B14</f>
        <v>8890</v>
      </c>
      <c r="C16" s="108" t="s">
        <v>253</v>
      </c>
      <c r="D16" s="80"/>
      <c r="E16" s="80"/>
      <c r="F16" s="80"/>
      <c r="L16" s="141"/>
    </row>
    <row r="17" spans="1:19">
      <c r="A17" s="250" t="s">
        <v>378</v>
      </c>
      <c r="B17" s="93">
        <f>2*(B15*B14)*(B13/2)^2</f>
        <v>51619251.599999987</v>
      </c>
      <c r="C17" s="109" t="s">
        <v>255</v>
      </c>
      <c r="D17" s="80">
        <v>18</v>
      </c>
      <c r="E17" s="80"/>
      <c r="F17" s="80"/>
      <c r="L17" s="141"/>
    </row>
    <row r="18" spans="1:19">
      <c r="A18" s="250" t="s">
        <v>379</v>
      </c>
      <c r="B18" s="93">
        <f>2*(B15*(10*B13))*(B13/2)^2</f>
        <v>56191242.455999978</v>
      </c>
      <c r="C18" s="109" t="s">
        <v>221</v>
      </c>
      <c r="D18" s="80">
        <v>2500</v>
      </c>
      <c r="E18" s="80"/>
      <c r="F18" s="80"/>
      <c r="L18" s="141"/>
    </row>
    <row r="19" spans="1:19">
      <c r="A19" s="96" t="s">
        <v>223</v>
      </c>
      <c r="B19" s="93">
        <f>2*B15*B15*(B13-B15)^2*(B14-B15)^2/(B13*B15+B14*B15-2*B15^2)</f>
        <v>178450333.5087992</v>
      </c>
      <c r="C19" s="96" t="s">
        <v>54</v>
      </c>
      <c r="D19" s="110">
        <v>200000</v>
      </c>
      <c r="E19" s="80"/>
      <c r="F19" s="80"/>
      <c r="L19" s="141"/>
    </row>
    <row r="20" spans="1:19">
      <c r="A20" s="96" t="s">
        <v>323</v>
      </c>
      <c r="B20" s="92">
        <f>B18/B16</f>
        <v>6320.7246857142836</v>
      </c>
      <c r="C20" s="109" t="s">
        <v>254</v>
      </c>
      <c r="D20" s="93">
        <f>PI()*D17^2/4*D19/D18</f>
        <v>20357.520395261861</v>
      </c>
      <c r="E20" s="80"/>
      <c r="F20" s="80"/>
      <c r="L20" s="141"/>
    </row>
    <row r="21" spans="1:19" ht="17" thickBot="1">
      <c r="A21" s="231" t="s">
        <v>298</v>
      </c>
      <c r="B21" s="237">
        <f>3*B7*B18/B12^3</f>
        <v>4238.9166138454793</v>
      </c>
      <c r="C21" s="231" t="s">
        <v>304</v>
      </c>
      <c r="D21" s="221">
        <v>3</v>
      </c>
      <c r="E21" s="221"/>
      <c r="F21" s="221"/>
      <c r="G21" s="168"/>
      <c r="H21" s="168"/>
      <c r="I21" s="168"/>
      <c r="J21" s="168"/>
      <c r="K21" s="168"/>
      <c r="L21" s="243"/>
      <c r="M21" s="168"/>
    </row>
    <row r="22" spans="1:19" ht="15" customHeight="1" thickBot="1">
      <c r="A22" s="406" t="s">
        <v>351</v>
      </c>
      <c r="B22" s="407"/>
      <c r="C22" s="407"/>
      <c r="D22" s="407"/>
      <c r="E22" s="407"/>
      <c r="F22" s="407"/>
      <c r="G22" s="407"/>
      <c r="H22" s="407"/>
      <c r="I22" s="407"/>
      <c r="J22" s="407"/>
      <c r="K22" s="407"/>
      <c r="L22" s="407"/>
      <c r="M22" s="408"/>
      <c r="N22" s="242"/>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400000000</v>
      </c>
      <c r="C25" s="210">
        <v>0</v>
      </c>
      <c r="G25" s="234" t="s">
        <v>175</v>
      </c>
      <c r="O25" s="201"/>
      <c r="P25" s="201"/>
      <c r="Q25" s="201"/>
      <c r="R25" s="201"/>
    </row>
    <row r="26" spans="1:19">
      <c r="A26" s="209" t="s">
        <v>112</v>
      </c>
      <c r="B26" s="144">
        <f>SUM(H35:S35)+C26</f>
        <v>400000000</v>
      </c>
      <c r="C26" s="210">
        <v>0</v>
      </c>
      <c r="G26" s="80" t="s">
        <v>118</v>
      </c>
      <c r="O26" s="201"/>
      <c r="P26" s="201"/>
      <c r="Q26" s="201"/>
      <c r="R26" s="201"/>
    </row>
    <row r="27" spans="1:19">
      <c r="A27" s="209" t="s">
        <v>113</v>
      </c>
      <c r="B27" s="144">
        <f>SUM(H36:S36)+C27</f>
        <v>400000000</v>
      </c>
      <c r="C27" s="210">
        <v>0</v>
      </c>
      <c r="D27" s="85"/>
      <c r="E27" s="85"/>
      <c r="F27" s="85"/>
      <c r="G27" s="204" t="s">
        <v>127</v>
      </c>
      <c r="H27" s="205">
        <v>4</v>
      </c>
      <c r="O27" s="201"/>
      <c r="P27" s="201"/>
      <c r="Q27" s="201"/>
      <c r="R27" s="201"/>
    </row>
    <row r="28" spans="1:19">
      <c r="A28" s="96" t="s">
        <v>109</v>
      </c>
      <c r="B28" s="101"/>
      <c r="C28" s="192"/>
      <c r="D28" s="85"/>
      <c r="E28" s="85"/>
      <c r="F28" s="85"/>
      <c r="H28" s="387" t="s">
        <v>123</v>
      </c>
      <c r="I28" s="387"/>
      <c r="J28" s="387"/>
      <c r="K28" s="387"/>
      <c r="L28" s="387"/>
      <c r="M28" s="387"/>
      <c r="N28" s="387"/>
      <c r="O28" s="387"/>
      <c r="P28" s="387"/>
      <c r="Q28" s="387"/>
      <c r="R28" s="387"/>
      <c r="S28" s="387"/>
    </row>
    <row r="29" spans="1:19">
      <c r="A29" s="209" t="s">
        <v>8</v>
      </c>
      <c r="B29" s="144">
        <f>SUM(H38:S38)+SUM(H42:S42)+C29</f>
        <v>4000404375000</v>
      </c>
      <c r="C29" s="210">
        <v>0</v>
      </c>
      <c r="D29" s="85"/>
      <c r="E29" s="85"/>
      <c r="F29" s="85"/>
      <c r="G29" s="80" t="s">
        <v>108</v>
      </c>
      <c r="H29" s="84">
        <v>1</v>
      </c>
      <c r="I29" s="84">
        <f>H29+1</f>
        <v>2</v>
      </c>
      <c r="J29" s="84">
        <f t="shared" ref="J29:R29" si="0">I29+1</f>
        <v>3</v>
      </c>
      <c r="K29" s="84">
        <f t="shared" si="0"/>
        <v>4</v>
      </c>
      <c r="L29" s="84">
        <f t="shared" si="0"/>
        <v>5</v>
      </c>
      <c r="M29" s="84">
        <f t="shared" si="0"/>
        <v>6</v>
      </c>
      <c r="N29" s="84">
        <f t="shared" si="0"/>
        <v>7</v>
      </c>
      <c r="O29" s="84">
        <f t="shared" si="0"/>
        <v>8</v>
      </c>
      <c r="P29" s="84">
        <f>O29+1</f>
        <v>9</v>
      </c>
      <c r="Q29" s="84">
        <f t="shared" si="0"/>
        <v>10</v>
      </c>
      <c r="R29" s="84">
        <f t="shared" si="0"/>
        <v>11</v>
      </c>
      <c r="S29" s="84">
        <f>R29+1</f>
        <v>12</v>
      </c>
    </row>
    <row r="30" spans="1:19">
      <c r="A30" s="209" t="s">
        <v>114</v>
      </c>
      <c r="B30" s="144">
        <f>SUM(H39:S39)+SUM(H43:S43)+C30</f>
        <v>4000134791666.6665</v>
      </c>
      <c r="C30" s="210">
        <v>0</v>
      </c>
      <c r="D30" s="85"/>
      <c r="E30" s="85"/>
      <c r="F30" s="85"/>
      <c r="G30" s="96" t="s">
        <v>42</v>
      </c>
      <c r="H30" s="205">
        <v>100</v>
      </c>
      <c r="I30" s="205">
        <v>-100</v>
      </c>
      <c r="J30" s="205">
        <v>-100</v>
      </c>
      <c r="K30" s="205">
        <v>100</v>
      </c>
      <c r="L30" s="205">
        <v>0</v>
      </c>
      <c r="M30" s="205">
        <v>0</v>
      </c>
      <c r="N30" s="205">
        <v>0</v>
      </c>
      <c r="O30" s="205">
        <v>0</v>
      </c>
      <c r="P30" s="205">
        <v>0</v>
      </c>
      <c r="Q30" s="205">
        <v>0</v>
      </c>
      <c r="R30" s="205">
        <v>0</v>
      </c>
      <c r="S30" s="205">
        <v>0</v>
      </c>
    </row>
    <row r="31" spans="1:19">
      <c r="A31" s="209" t="s">
        <v>110</v>
      </c>
      <c r="B31" s="144">
        <f>SUM(H40:S40)+SUM(H44:S44)+C31</f>
        <v>8000134791666.667</v>
      </c>
      <c r="C31" s="210">
        <v>0</v>
      </c>
      <c r="D31" s="85"/>
      <c r="E31" s="85"/>
      <c r="F31" s="85"/>
      <c r="G31" s="96" t="s">
        <v>43</v>
      </c>
      <c r="H31" s="205">
        <v>100</v>
      </c>
      <c r="I31" s="205">
        <v>100</v>
      </c>
      <c r="J31" s="205">
        <v>-100</v>
      </c>
      <c r="K31" s="205">
        <v>-100</v>
      </c>
      <c r="L31" s="205">
        <v>0</v>
      </c>
      <c r="M31" s="205">
        <v>0</v>
      </c>
      <c r="N31" s="205">
        <v>0</v>
      </c>
      <c r="O31" s="205">
        <v>0</v>
      </c>
      <c r="P31" s="205">
        <v>0</v>
      </c>
      <c r="Q31" s="205">
        <v>0</v>
      </c>
      <c r="R31" s="205">
        <v>0</v>
      </c>
      <c r="S31" s="205">
        <v>0</v>
      </c>
    </row>
    <row r="32" spans="1:19">
      <c r="A32" s="388" t="s">
        <v>180</v>
      </c>
      <c r="B32" s="388"/>
      <c r="C32" s="388"/>
      <c r="D32" s="85"/>
      <c r="E32" s="85"/>
      <c r="F32" s="85"/>
      <c r="G32" s="96" t="s">
        <v>44</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G33" s="80" t="s">
        <v>124</v>
      </c>
      <c r="H33" s="389"/>
      <c r="I33" s="389"/>
      <c r="J33" s="389"/>
      <c r="K33" s="389"/>
    </row>
    <row r="34" spans="1:19">
      <c r="A34" s="388"/>
      <c r="B34" s="388"/>
      <c r="C34" s="388"/>
      <c r="D34" s="85"/>
      <c r="E34" s="85"/>
      <c r="F34" s="85"/>
      <c r="G34" s="96" t="s">
        <v>111</v>
      </c>
      <c r="H34" s="262">
        <v>100000000</v>
      </c>
      <c r="I34" s="262">
        <v>100000000</v>
      </c>
      <c r="J34" s="262">
        <v>100000000</v>
      </c>
      <c r="K34" s="262">
        <v>100000000</v>
      </c>
      <c r="L34" s="205">
        <v>0</v>
      </c>
      <c r="M34" s="205">
        <v>0</v>
      </c>
      <c r="N34" s="205">
        <v>0</v>
      </c>
      <c r="O34" s="205">
        <v>0</v>
      </c>
      <c r="P34" s="205">
        <v>0</v>
      </c>
      <c r="Q34" s="205">
        <v>0</v>
      </c>
      <c r="R34" s="205">
        <v>0</v>
      </c>
      <c r="S34" s="205">
        <v>0</v>
      </c>
    </row>
    <row r="35" spans="1:19">
      <c r="A35" s="212" t="s">
        <v>176</v>
      </c>
      <c r="B35" s="205"/>
      <c r="C35" s="205"/>
      <c r="D35" s="85"/>
      <c r="E35" s="85"/>
      <c r="F35" s="85"/>
      <c r="G35" s="96" t="s">
        <v>112</v>
      </c>
      <c r="H35" s="262">
        <v>100000000</v>
      </c>
      <c r="I35" s="262">
        <v>100000000</v>
      </c>
      <c r="J35" s="262">
        <v>100000000</v>
      </c>
      <c r="K35" s="262">
        <v>100000000</v>
      </c>
      <c r="L35" s="205">
        <v>0</v>
      </c>
      <c r="M35" s="205">
        <v>0</v>
      </c>
      <c r="N35" s="205">
        <v>0</v>
      </c>
      <c r="O35" s="205">
        <v>0</v>
      </c>
      <c r="P35" s="205">
        <v>0</v>
      </c>
      <c r="Q35" s="205">
        <v>0</v>
      </c>
      <c r="R35" s="205">
        <v>0</v>
      </c>
      <c r="S35" s="205">
        <v>0</v>
      </c>
    </row>
    <row r="36" spans="1:19">
      <c r="A36" s="79" t="s">
        <v>103</v>
      </c>
      <c r="D36" s="85"/>
      <c r="E36" s="85"/>
      <c r="F36" s="85"/>
      <c r="G36" s="96" t="s">
        <v>113</v>
      </c>
      <c r="H36" s="262">
        <v>100000000</v>
      </c>
      <c r="I36" s="262">
        <v>100000000</v>
      </c>
      <c r="J36" s="262">
        <v>100000000</v>
      </c>
      <c r="K36" s="262">
        <v>100000000</v>
      </c>
      <c r="L36" s="205">
        <v>0</v>
      </c>
      <c r="M36" s="205">
        <v>0</v>
      </c>
      <c r="N36" s="205">
        <v>0</v>
      </c>
      <c r="O36" s="205">
        <v>0</v>
      </c>
      <c r="P36" s="205">
        <v>0</v>
      </c>
      <c r="Q36" s="205">
        <v>0</v>
      </c>
      <c r="R36" s="205">
        <v>0</v>
      </c>
      <c r="S36" s="205">
        <v>0</v>
      </c>
    </row>
    <row r="37" spans="1:19">
      <c r="A37" s="96" t="s">
        <v>177</v>
      </c>
      <c r="B37" s="205">
        <v>0</v>
      </c>
      <c r="D37" s="85"/>
      <c r="E37" s="85"/>
      <c r="F37" s="85"/>
      <c r="G37" s="80" t="s">
        <v>125</v>
      </c>
      <c r="H37" s="389"/>
      <c r="I37" s="389"/>
      <c r="J37" s="389"/>
      <c r="K37" s="389"/>
    </row>
    <row r="38" spans="1:19">
      <c r="A38" s="96" t="s">
        <v>178</v>
      </c>
      <c r="B38" s="205">
        <v>0</v>
      </c>
      <c r="D38" s="85"/>
      <c r="E38" s="85"/>
      <c r="F38" s="85"/>
      <c r="G38" s="96" t="s">
        <v>8</v>
      </c>
      <c r="H38" s="134">
        <f>D12</f>
        <v>101093750</v>
      </c>
      <c r="I38" s="134">
        <f>H38</f>
        <v>101093750</v>
      </c>
      <c r="J38" s="134">
        <f t="shared" ref="J38:K38" si="1">I38</f>
        <v>101093750</v>
      </c>
      <c r="K38" s="134">
        <f t="shared" si="1"/>
        <v>101093750</v>
      </c>
      <c r="L38" s="205">
        <v>0</v>
      </c>
      <c r="M38" s="205">
        <v>0</v>
      </c>
      <c r="N38" s="205">
        <v>0</v>
      </c>
      <c r="O38" s="205">
        <v>0</v>
      </c>
      <c r="P38" s="205">
        <v>0</v>
      </c>
      <c r="Q38" s="205">
        <v>0</v>
      </c>
      <c r="R38" s="205">
        <v>0</v>
      </c>
      <c r="S38" s="205">
        <v>0</v>
      </c>
    </row>
    <row r="39" spans="1:19">
      <c r="A39" s="96" t="s">
        <v>179</v>
      </c>
      <c r="B39" s="205">
        <v>0</v>
      </c>
      <c r="D39" s="85"/>
      <c r="E39" s="85"/>
      <c r="F39" s="85"/>
      <c r="G39" s="96" t="s">
        <v>114</v>
      </c>
      <c r="H39" s="134">
        <f>D14</f>
        <v>33697916.666666664</v>
      </c>
      <c r="I39" s="134">
        <f t="shared" ref="I39:K40" si="2">H39</f>
        <v>33697916.666666664</v>
      </c>
      <c r="J39" s="134">
        <f t="shared" si="2"/>
        <v>33697916.666666664</v>
      </c>
      <c r="K39" s="134">
        <f t="shared" si="2"/>
        <v>33697916.666666664</v>
      </c>
      <c r="L39" s="205">
        <v>0</v>
      </c>
      <c r="M39" s="205">
        <v>0</v>
      </c>
      <c r="N39" s="205">
        <v>0</v>
      </c>
      <c r="O39" s="205">
        <v>0</v>
      </c>
      <c r="P39" s="205">
        <v>0</v>
      </c>
      <c r="Q39" s="205">
        <v>0</v>
      </c>
      <c r="R39" s="205">
        <v>0</v>
      </c>
      <c r="S39" s="205">
        <v>0</v>
      </c>
    </row>
    <row r="40" spans="1:19">
      <c r="A40" s="141" t="s">
        <v>104</v>
      </c>
      <c r="G40" s="96" t="s">
        <v>110</v>
      </c>
      <c r="H40" s="134">
        <f>D13</f>
        <v>33697916.666666664</v>
      </c>
      <c r="I40" s="134">
        <f t="shared" si="2"/>
        <v>33697916.666666664</v>
      </c>
      <c r="J40" s="134">
        <f t="shared" si="2"/>
        <v>33697916.666666664</v>
      </c>
      <c r="K40" s="134">
        <f t="shared" si="2"/>
        <v>33697916.666666664</v>
      </c>
      <c r="L40" s="205">
        <v>0</v>
      </c>
      <c r="M40" s="205">
        <v>0</v>
      </c>
      <c r="N40" s="205">
        <v>0</v>
      </c>
      <c r="O40" s="205">
        <v>0</v>
      </c>
      <c r="P40" s="205">
        <v>0</v>
      </c>
      <c r="Q40" s="205">
        <v>0</v>
      </c>
      <c r="R40" s="205">
        <v>0</v>
      </c>
      <c r="S40" s="205">
        <v>0</v>
      </c>
    </row>
    <row r="41" spans="1:19">
      <c r="A41" s="96" t="s">
        <v>177</v>
      </c>
      <c r="B41" s="205">
        <v>0</v>
      </c>
      <c r="D41" s="208"/>
      <c r="E41" s="208"/>
      <c r="F41" s="208"/>
      <c r="G41" s="80" t="s">
        <v>119</v>
      </c>
    </row>
    <row r="42" spans="1:19">
      <c r="A42" s="96" t="s">
        <v>178</v>
      </c>
      <c r="B42" s="205">
        <v>0</v>
      </c>
      <c r="D42" s="146"/>
      <c r="E42" s="146"/>
      <c r="F42" s="146"/>
      <c r="G42" s="96" t="s">
        <v>8</v>
      </c>
      <c r="H42" s="144">
        <f>H35*H32^2+H36*H31^2</f>
        <v>1000000000000</v>
      </c>
      <c r="I42" s="144">
        <f t="shared" ref="I42:S42" si="3">I35*I32^2+I36*I31^2</f>
        <v>1000000000000</v>
      </c>
      <c r="J42" s="144">
        <f t="shared" si="3"/>
        <v>1000000000000</v>
      </c>
      <c r="K42" s="144">
        <f t="shared" si="3"/>
        <v>1000000000000</v>
      </c>
      <c r="L42" s="99">
        <f t="shared" si="3"/>
        <v>0</v>
      </c>
      <c r="M42" s="99">
        <f t="shared" si="3"/>
        <v>0</v>
      </c>
      <c r="N42" s="99">
        <f t="shared" si="3"/>
        <v>0</v>
      </c>
      <c r="O42" s="99">
        <f t="shared" si="3"/>
        <v>0</v>
      </c>
      <c r="P42" s="99">
        <f t="shared" si="3"/>
        <v>0</v>
      </c>
      <c r="Q42" s="99">
        <f t="shared" si="3"/>
        <v>0</v>
      </c>
      <c r="R42" s="99">
        <f t="shared" si="3"/>
        <v>0</v>
      </c>
      <c r="S42" s="99">
        <f t="shared" si="3"/>
        <v>0</v>
      </c>
    </row>
    <row r="43" spans="1:19">
      <c r="A43" s="96" t="s">
        <v>179</v>
      </c>
      <c r="B43" s="205">
        <v>0</v>
      </c>
      <c r="D43" s="210"/>
      <c r="E43" s="210"/>
      <c r="F43" s="210"/>
      <c r="G43" s="96" t="s">
        <v>114</v>
      </c>
      <c r="H43" s="144">
        <f>H34*H32^2+H36*H30^2</f>
        <v>1000000000000</v>
      </c>
      <c r="I43" s="144">
        <f t="shared" ref="I43:S43" si="4">I34*I32^2+I36*I30^2</f>
        <v>1000000000000</v>
      </c>
      <c r="J43" s="144">
        <f t="shared" si="4"/>
        <v>1000000000000</v>
      </c>
      <c r="K43" s="144">
        <f t="shared" si="4"/>
        <v>1000000000000</v>
      </c>
      <c r="L43" s="99">
        <f t="shared" si="4"/>
        <v>0</v>
      </c>
      <c r="M43" s="99">
        <f t="shared" si="4"/>
        <v>0</v>
      </c>
      <c r="N43" s="99">
        <f t="shared" si="4"/>
        <v>0</v>
      </c>
      <c r="O43" s="99">
        <f t="shared" si="4"/>
        <v>0</v>
      </c>
      <c r="P43" s="99">
        <f t="shared" si="4"/>
        <v>0</v>
      </c>
      <c r="Q43" s="99">
        <f t="shared" si="4"/>
        <v>0</v>
      </c>
      <c r="R43" s="99">
        <f t="shared" si="4"/>
        <v>0</v>
      </c>
      <c r="S43" s="99">
        <f t="shared" si="4"/>
        <v>0</v>
      </c>
    </row>
    <row r="44" spans="1:19">
      <c r="A44" s="206" t="s">
        <v>194</v>
      </c>
      <c r="C44" s="85"/>
      <c r="D44" s="210"/>
      <c r="E44" s="210"/>
      <c r="F44" s="210"/>
      <c r="G44" s="96" t="s">
        <v>110</v>
      </c>
      <c r="H44" s="144">
        <f>H34*H31^2+H35*H30^2</f>
        <v>2000000000000</v>
      </c>
      <c r="I44" s="144">
        <f t="shared" ref="I44:S44" si="5">I34*I31^2+I35*I30^2</f>
        <v>2000000000000</v>
      </c>
      <c r="J44" s="144">
        <f t="shared" si="5"/>
        <v>2000000000000</v>
      </c>
      <c r="K44" s="144">
        <f t="shared" si="5"/>
        <v>2000000000000</v>
      </c>
      <c r="L44" s="99">
        <f t="shared" si="5"/>
        <v>0</v>
      </c>
      <c r="M44" s="99">
        <f t="shared" si="5"/>
        <v>0</v>
      </c>
      <c r="N44" s="99">
        <f t="shared" si="5"/>
        <v>0</v>
      </c>
      <c r="O44" s="99">
        <f t="shared" si="5"/>
        <v>0</v>
      </c>
      <c r="P44" s="99">
        <f t="shared" si="5"/>
        <v>0</v>
      </c>
      <c r="Q44" s="99">
        <f t="shared" si="5"/>
        <v>0</v>
      </c>
      <c r="R44" s="99">
        <f t="shared" si="5"/>
        <v>0</v>
      </c>
      <c r="S44" s="99">
        <f t="shared" si="5"/>
        <v>0</v>
      </c>
    </row>
    <row r="45" spans="1:19">
      <c r="A45" s="96" t="s">
        <v>115</v>
      </c>
      <c r="B45" s="99">
        <f>SQRT((H46^2+I46^2+J46^2+K46^2+L46^2+M46^2+N46^2+O46^2+P46^2+Q46^2+R46^2+S46^2)/H$27)</f>
        <v>5.0000000000000001E-3</v>
      </c>
      <c r="C45" s="85"/>
      <c r="D45" s="210"/>
      <c r="E45" s="210"/>
      <c r="F45" s="210"/>
      <c r="G45" s="80" t="s">
        <v>293</v>
      </c>
    </row>
    <row r="46" spans="1:19">
      <c r="A46" s="96" t="s">
        <v>116</v>
      </c>
      <c r="B46" s="99">
        <f>SQRT((H47^2+I47^2+J47^2+K47^2+L47^2+M47^2+N47^2+O47^2+P47^2+Q47^2+R47^2+S47^2)/H$27)</f>
        <v>5.0000000000000001E-3</v>
      </c>
      <c r="C46" s="85"/>
      <c r="D46" s="192"/>
      <c r="E46" s="192"/>
      <c r="F46" s="192"/>
      <c r="G46" s="96" t="s">
        <v>115</v>
      </c>
      <c r="H46" s="205">
        <f t="shared" ref="H46:K48" si="6">IF(REBS="YES", REB, 0.005)</f>
        <v>5.0000000000000001E-3</v>
      </c>
      <c r="I46" s="205">
        <f t="shared" si="6"/>
        <v>5.0000000000000001E-3</v>
      </c>
      <c r="J46" s="205">
        <f t="shared" si="6"/>
        <v>5.0000000000000001E-3</v>
      </c>
      <c r="K46" s="205">
        <f t="shared" si="6"/>
        <v>5.0000000000000001E-3</v>
      </c>
      <c r="L46" s="205">
        <v>0</v>
      </c>
      <c r="M46" s="205">
        <v>0</v>
      </c>
      <c r="N46" s="205">
        <v>0</v>
      </c>
      <c r="O46" s="205">
        <v>0</v>
      </c>
      <c r="P46" s="205">
        <v>0</v>
      </c>
      <c r="Q46" s="205">
        <v>0</v>
      </c>
      <c r="R46" s="205">
        <v>0</v>
      </c>
      <c r="S46" s="205">
        <v>0</v>
      </c>
    </row>
    <row r="47" spans="1:19">
      <c r="A47" s="96" t="s">
        <v>117</v>
      </c>
      <c r="B47" s="99">
        <f>SQRT((H48^2+I48^2+J48^2+K48^2+L48^2+M48^2+N48^2+O48^2+P48^2+Q48^2+R48^2+S48^2)/H$27)</f>
        <v>5.0000000000000001E-3</v>
      </c>
      <c r="C47" s="85"/>
      <c r="D47" s="210"/>
      <c r="E47" s="210"/>
      <c r="F47" s="210"/>
      <c r="G47" s="96" t="s">
        <v>116</v>
      </c>
      <c r="H47" s="205">
        <f t="shared" si="6"/>
        <v>5.0000000000000001E-3</v>
      </c>
      <c r="I47" s="205">
        <f t="shared" si="6"/>
        <v>5.0000000000000001E-3</v>
      </c>
      <c r="J47" s="205">
        <f t="shared" si="6"/>
        <v>5.0000000000000001E-3</v>
      </c>
      <c r="K47" s="205">
        <f t="shared" si="6"/>
        <v>5.0000000000000001E-3</v>
      </c>
      <c r="L47" s="205">
        <v>0</v>
      </c>
      <c r="M47" s="205">
        <v>0</v>
      </c>
      <c r="N47" s="205">
        <v>0</v>
      </c>
      <c r="O47" s="205">
        <v>0</v>
      </c>
      <c r="P47" s="205">
        <v>0</v>
      </c>
      <c r="Q47" s="205">
        <v>0</v>
      </c>
      <c r="R47" s="205">
        <v>0</v>
      </c>
      <c r="S47" s="205">
        <v>0</v>
      </c>
    </row>
    <row r="48" spans="1:19">
      <c r="A48" s="96" t="s">
        <v>80</v>
      </c>
      <c r="B48" s="99">
        <f>SQRT((H50^2+I50^2+J50^2+K50^2+L50^2+M50^2+N50^2+O50^2+P50^2+Q50^2+R50^2+S50^2+B37^2)/H$27)</f>
        <v>5.0000000000000009E-5</v>
      </c>
      <c r="C48" s="85"/>
      <c r="D48" s="210"/>
      <c r="E48" s="210"/>
      <c r="F48" s="210"/>
      <c r="G48" s="96" t="s">
        <v>117</v>
      </c>
      <c r="H48" s="205">
        <f t="shared" si="6"/>
        <v>5.0000000000000001E-3</v>
      </c>
      <c r="I48" s="205">
        <f t="shared" si="6"/>
        <v>5.0000000000000001E-3</v>
      </c>
      <c r="J48" s="205">
        <f t="shared" si="6"/>
        <v>5.0000000000000001E-3</v>
      </c>
      <c r="K48" s="205">
        <f t="shared" si="6"/>
        <v>5.0000000000000001E-3</v>
      </c>
      <c r="L48" s="205">
        <v>0</v>
      </c>
      <c r="M48" s="205">
        <v>0</v>
      </c>
      <c r="N48" s="205">
        <v>0</v>
      </c>
      <c r="O48" s="205">
        <v>0</v>
      </c>
      <c r="P48" s="205">
        <v>0</v>
      </c>
      <c r="Q48" s="205">
        <v>0</v>
      </c>
      <c r="R48" s="205">
        <v>0</v>
      </c>
      <c r="S48" s="205">
        <v>0</v>
      </c>
    </row>
    <row r="49" spans="1:20">
      <c r="A49" s="96" t="s">
        <v>81</v>
      </c>
      <c r="B49" s="99">
        <f>SQRT((H51^2+I51^2+J51^2+K51^2+L51^2+M51^2+N51^2+O51^2+P51^2+Q51^2+R51^2+S51^2+B38^2)/H$27)</f>
        <v>5.0000000000000009E-5</v>
      </c>
      <c r="D49" s="210"/>
      <c r="E49" s="210"/>
      <c r="F49" s="210"/>
      <c r="G49" s="80" t="s">
        <v>238</v>
      </c>
    </row>
    <row r="50" spans="1:20">
      <c r="A50" s="96" t="s">
        <v>82</v>
      </c>
      <c r="B50" s="99">
        <f>SQRT((H52^2+I52^2+J52^2+K52^2+L52^2+M52^2+N52^2+O52^2+P52^2+Q52^2+R52^2+S52^2+B39^2)/H$27)</f>
        <v>4.999999975000001E-5</v>
      </c>
      <c r="C50" s="85"/>
      <c r="D50" s="211"/>
      <c r="E50" s="211"/>
      <c r="F50" s="211"/>
      <c r="G50" s="96" t="s">
        <v>80</v>
      </c>
      <c r="H50" s="144">
        <f>H97</f>
        <v>4.9999999500000004E-5</v>
      </c>
      <c r="I50" s="144">
        <f t="shared" ref="I50:S50" si="7">I97</f>
        <v>4.9999999500000004E-5</v>
      </c>
      <c r="J50" s="144">
        <f t="shared" si="7"/>
        <v>5.0000000500000007E-5</v>
      </c>
      <c r="K50" s="144">
        <f t="shared" si="7"/>
        <v>5.0000000500000007E-5</v>
      </c>
      <c r="L50" s="144">
        <f t="shared" si="7"/>
        <v>0</v>
      </c>
      <c r="M50" s="144">
        <f t="shared" si="7"/>
        <v>0</v>
      </c>
      <c r="N50" s="144">
        <f t="shared" si="7"/>
        <v>0</v>
      </c>
      <c r="O50" s="144">
        <f t="shared" si="7"/>
        <v>0</v>
      </c>
      <c r="P50" s="144">
        <f t="shared" si="7"/>
        <v>0</v>
      </c>
      <c r="Q50" s="144">
        <f t="shared" si="7"/>
        <v>0</v>
      </c>
      <c r="R50" s="144">
        <f t="shared" si="7"/>
        <v>0</v>
      </c>
      <c r="S50" s="144">
        <f t="shared" si="7"/>
        <v>0</v>
      </c>
    </row>
    <row r="51" spans="1:20" ht="51">
      <c r="A51" s="207" t="s">
        <v>195</v>
      </c>
      <c r="B51" s="101"/>
      <c r="C51" s="85"/>
      <c r="D51" s="211"/>
      <c r="E51" s="211"/>
      <c r="F51" s="211"/>
      <c r="G51" s="96" t="s">
        <v>81</v>
      </c>
      <c r="H51" s="144">
        <f>H101</f>
        <v>4.9999999500000004E-5</v>
      </c>
      <c r="I51" s="144">
        <f t="shared" ref="I51:S51" si="8">I101</f>
        <v>5.0000000500000007E-5</v>
      </c>
      <c r="J51" s="144">
        <f t="shared" si="8"/>
        <v>5.0000000500000007E-5</v>
      </c>
      <c r="K51" s="144">
        <f t="shared" si="8"/>
        <v>4.9999999500000004E-5</v>
      </c>
      <c r="L51" s="144">
        <f t="shared" si="8"/>
        <v>0</v>
      </c>
      <c r="M51" s="144">
        <f t="shared" si="8"/>
        <v>0</v>
      </c>
      <c r="N51" s="144">
        <f t="shared" si="8"/>
        <v>0</v>
      </c>
      <c r="O51" s="144">
        <f t="shared" si="8"/>
        <v>0</v>
      </c>
      <c r="P51" s="144">
        <f t="shared" si="8"/>
        <v>0</v>
      </c>
      <c r="Q51" s="144">
        <f t="shared" si="8"/>
        <v>0</v>
      </c>
      <c r="R51" s="144">
        <f t="shared" si="8"/>
        <v>0</v>
      </c>
      <c r="S51" s="144">
        <f t="shared" si="8"/>
        <v>0</v>
      </c>
      <c r="T51" s="81"/>
    </row>
    <row r="52" spans="1:20">
      <c r="A52" s="96" t="s">
        <v>115</v>
      </c>
      <c r="B52" s="99">
        <f>SQRT((H54^2+I54^2+J54^2+K54^2+L54^2+M54^2+N54^2+O54^2+P54^2+Q54^2+R54^2+S54^2)/H$27)</f>
        <v>0</v>
      </c>
      <c r="C52" s="85"/>
      <c r="D52" s="211"/>
      <c r="E52" s="211"/>
      <c r="F52" s="211"/>
      <c r="G52" s="96" t="s">
        <v>82</v>
      </c>
      <c r="H52" s="144">
        <f>H105</f>
        <v>4.9999999500000004E-5</v>
      </c>
      <c r="I52" s="144">
        <f t="shared" ref="I52:S52" si="9">I105</f>
        <v>4.9999999500000004E-5</v>
      </c>
      <c r="J52" s="144">
        <f t="shared" si="9"/>
        <v>5.0000000500000007E-5</v>
      </c>
      <c r="K52" s="144">
        <f t="shared" si="9"/>
        <v>4.9999999500000004E-5</v>
      </c>
      <c r="L52" s="144">
        <f t="shared" si="9"/>
        <v>0</v>
      </c>
      <c r="M52" s="144">
        <f t="shared" si="9"/>
        <v>0</v>
      </c>
      <c r="N52" s="144">
        <f t="shared" si="9"/>
        <v>0</v>
      </c>
      <c r="O52" s="144">
        <f t="shared" si="9"/>
        <v>0</v>
      </c>
      <c r="P52" s="144">
        <f t="shared" si="9"/>
        <v>0</v>
      </c>
      <c r="Q52" s="144">
        <f t="shared" si="9"/>
        <v>0</v>
      </c>
      <c r="R52" s="144">
        <f t="shared" si="9"/>
        <v>0</v>
      </c>
      <c r="S52" s="144">
        <f t="shared" si="9"/>
        <v>0</v>
      </c>
    </row>
    <row r="53" spans="1:20">
      <c r="A53" s="96" t="s">
        <v>116</v>
      </c>
      <c r="B53" s="99">
        <f>SQRT((H55^2+I55^2+J55^2+K55^2+L55^2+M55^2+N55^2+O55^2+P55^2+Q55^2+R55^2+S55^2)/H$27)</f>
        <v>0</v>
      </c>
      <c r="C53" s="85"/>
      <c r="D53" s="205"/>
      <c r="E53" s="205"/>
      <c r="F53" s="205"/>
      <c r="G53" s="80" t="s">
        <v>317</v>
      </c>
    </row>
    <row r="54" spans="1:20">
      <c r="A54" s="96" t="s">
        <v>117</v>
      </c>
      <c r="B54" s="99">
        <f>SQRT((H56^2+I56^2+J56^2+K56^2+L56^2+M56^2+N56^2+O56^2+P56^2+Q56^2+R56^2+S56^2)/H$27)</f>
        <v>0</v>
      </c>
      <c r="C54" s="85"/>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C55" s="85"/>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G57" s="80" t="s">
        <v>239</v>
      </c>
    </row>
    <row r="58" spans="1:20">
      <c r="G58" s="96" t="s">
        <v>80</v>
      </c>
      <c r="H58" s="213">
        <f>H112</f>
        <v>0</v>
      </c>
      <c r="I58" s="213">
        <f t="shared" ref="I58:S58" si="10">I112</f>
        <v>0</v>
      </c>
      <c r="J58" s="213">
        <f t="shared" si="10"/>
        <v>0</v>
      </c>
      <c r="K58" s="213">
        <f t="shared" si="10"/>
        <v>0</v>
      </c>
      <c r="L58" s="213">
        <f t="shared" si="10"/>
        <v>0</v>
      </c>
      <c r="M58" s="213">
        <f t="shared" si="10"/>
        <v>0</v>
      </c>
      <c r="N58" s="213">
        <f t="shared" si="10"/>
        <v>0</v>
      </c>
      <c r="O58" s="213">
        <f t="shared" si="10"/>
        <v>0</v>
      </c>
      <c r="P58" s="213">
        <f t="shared" si="10"/>
        <v>0</v>
      </c>
      <c r="Q58" s="213">
        <f t="shared" si="10"/>
        <v>0</v>
      </c>
      <c r="R58" s="213">
        <f t="shared" si="10"/>
        <v>0</v>
      </c>
      <c r="S58" s="213">
        <f t="shared" si="10"/>
        <v>0</v>
      </c>
    </row>
    <row r="59" spans="1:20">
      <c r="A59" s="292" t="s">
        <v>387</v>
      </c>
      <c r="B59" s="292"/>
      <c r="G59" s="96" t="s">
        <v>81</v>
      </c>
      <c r="H59" s="213">
        <f>H117</f>
        <v>0</v>
      </c>
      <c r="I59" s="213">
        <f t="shared" ref="I59:S59" si="11">I117</f>
        <v>0</v>
      </c>
      <c r="J59" s="213">
        <f t="shared" si="11"/>
        <v>0</v>
      </c>
      <c r="K59" s="213">
        <f t="shared" si="11"/>
        <v>0</v>
      </c>
      <c r="L59" s="213">
        <f t="shared" si="11"/>
        <v>0</v>
      </c>
      <c r="M59" s="213">
        <f t="shared" si="11"/>
        <v>0</v>
      </c>
      <c r="N59" s="213">
        <f t="shared" si="11"/>
        <v>0</v>
      </c>
      <c r="O59" s="213">
        <f t="shared" si="11"/>
        <v>0</v>
      </c>
      <c r="P59" s="213">
        <f t="shared" si="11"/>
        <v>0</v>
      </c>
      <c r="Q59" s="213">
        <f t="shared" si="11"/>
        <v>0</v>
      </c>
      <c r="R59" s="213">
        <f t="shared" si="11"/>
        <v>0</v>
      </c>
      <c r="S59" s="213">
        <f t="shared" si="11"/>
        <v>0</v>
      </c>
    </row>
    <row r="60" spans="1:20">
      <c r="A60" s="293" t="s">
        <v>80</v>
      </c>
      <c r="B60" s="294">
        <f>IF(MAX(ABS(B48),ABS(B55))=0, 0.001, MAX(ABS(B48),ABS(B55)))</f>
        <v>5.0000000000000009E-5</v>
      </c>
      <c r="G60" s="96" t="s">
        <v>82</v>
      </c>
      <c r="H60" s="213">
        <f>H122</f>
        <v>0</v>
      </c>
      <c r="I60" s="213">
        <f t="shared" ref="I60:S60" si="12">I122</f>
        <v>0</v>
      </c>
      <c r="J60" s="213">
        <f t="shared" si="12"/>
        <v>0</v>
      </c>
      <c r="K60" s="213">
        <f t="shared" si="12"/>
        <v>0</v>
      </c>
      <c r="L60" s="213">
        <f t="shared" si="12"/>
        <v>0</v>
      </c>
      <c r="M60" s="213">
        <f t="shared" si="12"/>
        <v>0</v>
      </c>
      <c r="N60" s="213">
        <f t="shared" si="12"/>
        <v>0</v>
      </c>
      <c r="O60" s="213">
        <f t="shared" si="12"/>
        <v>0</v>
      </c>
      <c r="P60" s="213">
        <f t="shared" si="12"/>
        <v>0</v>
      </c>
      <c r="Q60" s="213">
        <f t="shared" si="12"/>
        <v>0</v>
      </c>
      <c r="R60" s="213">
        <f t="shared" si="12"/>
        <v>0</v>
      </c>
      <c r="S60" s="213">
        <f t="shared" si="12"/>
        <v>0</v>
      </c>
    </row>
    <row r="61" spans="1:20">
      <c r="A61" s="293" t="s">
        <v>81</v>
      </c>
      <c r="B61" s="294">
        <f t="shared" ref="B61:B62" si="13">IF(MAX(ABS(B49),ABS(B56))=0, 0.001, MAX(ABS(B49),ABS(B56)))</f>
        <v>5.0000000000000009E-5</v>
      </c>
      <c r="G61" s="206"/>
    </row>
    <row r="62" spans="1:20">
      <c r="A62" s="293" t="s">
        <v>82</v>
      </c>
      <c r="B62" s="294">
        <f t="shared" si="13"/>
        <v>4.999999975000001E-5</v>
      </c>
      <c r="I62" s="111"/>
      <c r="J62" s="111"/>
      <c r="K62" s="111"/>
      <c r="L62" s="111"/>
      <c r="M62" s="111"/>
      <c r="N62" s="111"/>
    </row>
    <row r="63" spans="1:20">
      <c r="G63" s="112"/>
      <c r="H63" s="366"/>
      <c r="I63" s="139"/>
      <c r="J63" s="139"/>
      <c r="K63" s="139"/>
      <c r="L63" s="139"/>
      <c r="M63" s="139"/>
      <c r="N63" s="139"/>
      <c r="O63" s="111"/>
    </row>
    <row r="64" spans="1:20">
      <c r="G64" s="112"/>
      <c r="H64" s="366"/>
      <c r="I64" s="139"/>
      <c r="J64" s="139"/>
      <c r="K64" s="139"/>
      <c r="L64" s="139"/>
      <c r="M64" s="139"/>
      <c r="N64" s="139"/>
      <c r="O64" s="111"/>
    </row>
    <row r="65" spans="1:15">
      <c r="G65" s="112"/>
      <c r="H65" s="366"/>
      <c r="I65" s="139"/>
      <c r="J65" s="139"/>
      <c r="K65" s="139"/>
      <c r="L65" s="139"/>
      <c r="M65" s="139"/>
      <c r="N65" s="139"/>
      <c r="O65" s="111"/>
    </row>
    <row r="66" spans="1:15">
      <c r="G66" s="112"/>
      <c r="H66" s="366"/>
      <c r="I66" s="139"/>
      <c r="J66" s="139"/>
      <c r="K66" s="139"/>
      <c r="L66" s="139"/>
      <c r="M66" s="139"/>
      <c r="N66" s="139"/>
      <c r="O66" s="111"/>
    </row>
    <row r="67" spans="1:15">
      <c r="G67" s="112"/>
      <c r="H67" s="366"/>
      <c r="I67" s="139"/>
      <c r="J67" s="139"/>
      <c r="K67" s="139"/>
      <c r="L67" s="139"/>
      <c r="M67" s="139"/>
      <c r="N67" s="139"/>
      <c r="O67" s="111"/>
    </row>
    <row r="68" spans="1:15">
      <c r="G68" s="112"/>
      <c r="H68" s="366"/>
      <c r="I68" s="139"/>
      <c r="J68" s="139"/>
      <c r="K68" s="139"/>
      <c r="L68" s="139"/>
      <c r="M68" s="139"/>
      <c r="N68" s="139"/>
      <c r="O68" s="111"/>
    </row>
    <row r="69" spans="1:15">
      <c r="G69" s="112"/>
      <c r="H69" s="187"/>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row>
    <row r="91" spans="1:19">
      <c r="A91" s="96"/>
      <c r="B91" s="201"/>
    </row>
    <row r="92" spans="1:19">
      <c r="A92" s="96"/>
      <c r="B92" s="201"/>
    </row>
    <row r="93" spans="1:19">
      <c r="A93" s="96"/>
      <c r="B93" s="201"/>
      <c r="G93" s="215" t="s">
        <v>246</v>
      </c>
    </row>
    <row r="94" spans="1:19">
      <c r="A94" s="96"/>
      <c r="B94" s="201"/>
      <c r="G94" s="203"/>
      <c r="H94" s="141" t="s">
        <v>247</v>
      </c>
    </row>
    <row r="95" spans="1:19">
      <c r="A95" s="96"/>
      <c r="B95" s="201"/>
      <c r="G95" s="141" t="s">
        <v>245</v>
      </c>
      <c r="H95" s="79">
        <f t="shared" ref="H95:S95" si="14">H47/ABS(H32+0.000001)</f>
        <v>5000</v>
      </c>
      <c r="I95" s="79">
        <f t="shared" si="14"/>
        <v>5000</v>
      </c>
      <c r="J95" s="79">
        <f t="shared" si="14"/>
        <v>5000</v>
      </c>
      <c r="K95" s="79">
        <f t="shared" si="14"/>
        <v>5000</v>
      </c>
      <c r="L95" s="79">
        <f t="shared" si="14"/>
        <v>0</v>
      </c>
      <c r="M95" s="79">
        <f t="shared" si="14"/>
        <v>0</v>
      </c>
      <c r="N95" s="79">
        <f t="shared" si="14"/>
        <v>0</v>
      </c>
      <c r="O95" s="79">
        <f t="shared" si="14"/>
        <v>0</v>
      </c>
      <c r="P95" s="79">
        <f t="shared" si="14"/>
        <v>0</v>
      </c>
      <c r="Q95" s="79">
        <f t="shared" si="14"/>
        <v>0</v>
      </c>
      <c r="R95" s="79">
        <f t="shared" si="14"/>
        <v>0</v>
      </c>
      <c r="S95" s="79">
        <f t="shared" si="14"/>
        <v>0</v>
      </c>
    </row>
    <row r="96" spans="1:19">
      <c r="A96" s="96"/>
      <c r="B96" s="201"/>
      <c r="G96" s="141" t="s">
        <v>245</v>
      </c>
      <c r="H96" s="79">
        <f t="shared" ref="H96:S96" si="15">H48/ABS(H31+0.000001)</f>
        <v>4.9999999500000004E-5</v>
      </c>
      <c r="I96" s="79">
        <f t="shared" si="15"/>
        <v>4.9999999500000004E-5</v>
      </c>
      <c r="J96" s="79">
        <f t="shared" si="15"/>
        <v>5.0000000500000007E-5</v>
      </c>
      <c r="K96" s="79">
        <f t="shared" si="15"/>
        <v>5.0000000500000007E-5</v>
      </c>
      <c r="L96" s="79">
        <f t="shared" si="15"/>
        <v>0</v>
      </c>
      <c r="M96" s="79">
        <f t="shared" si="15"/>
        <v>0</v>
      </c>
      <c r="N96" s="79">
        <f t="shared" si="15"/>
        <v>0</v>
      </c>
      <c r="O96" s="79">
        <f t="shared" si="15"/>
        <v>0</v>
      </c>
      <c r="P96" s="79">
        <f t="shared" si="15"/>
        <v>0</v>
      </c>
      <c r="Q96" s="79">
        <f t="shared" si="15"/>
        <v>0</v>
      </c>
      <c r="R96" s="79">
        <f t="shared" si="15"/>
        <v>0</v>
      </c>
      <c r="S96" s="79">
        <f t="shared" si="15"/>
        <v>0</v>
      </c>
    </row>
    <row r="97" spans="1:19">
      <c r="A97" s="96"/>
      <c r="B97" s="201"/>
      <c r="G97" s="79" t="s">
        <v>243</v>
      </c>
      <c r="H97" s="216">
        <f>IF(MIN(H95,H96)&gt;1,0,MIN(H95,H96))</f>
        <v>4.9999999500000004E-5</v>
      </c>
      <c r="I97" s="216">
        <f t="shared" ref="I97:S97" si="16">IF(MIN(I95,I96)&gt;1,0,MIN(I95,I96))</f>
        <v>4.9999999500000004E-5</v>
      </c>
      <c r="J97" s="216">
        <f t="shared" si="16"/>
        <v>5.0000000500000007E-5</v>
      </c>
      <c r="K97" s="216">
        <f t="shared" si="16"/>
        <v>5.0000000500000007E-5</v>
      </c>
      <c r="L97" s="216">
        <f t="shared" si="16"/>
        <v>0</v>
      </c>
      <c r="M97" s="216">
        <f t="shared" si="16"/>
        <v>0</v>
      </c>
      <c r="N97" s="216">
        <f t="shared" si="16"/>
        <v>0</v>
      </c>
      <c r="O97" s="216">
        <f t="shared" si="16"/>
        <v>0</v>
      </c>
      <c r="P97" s="216">
        <f t="shared" si="16"/>
        <v>0</v>
      </c>
      <c r="Q97" s="216">
        <f t="shared" si="16"/>
        <v>0</v>
      </c>
      <c r="R97" s="216">
        <f t="shared" si="16"/>
        <v>0</v>
      </c>
      <c r="S97" s="216">
        <f t="shared" si="16"/>
        <v>0</v>
      </c>
    </row>
    <row r="98" spans="1:19">
      <c r="A98" s="96"/>
      <c r="B98" s="201"/>
      <c r="H98" s="141" t="s">
        <v>248</v>
      </c>
      <c r="I98" s="141"/>
      <c r="J98" s="141"/>
      <c r="K98" s="141"/>
      <c r="L98" s="141"/>
      <c r="M98" s="141"/>
      <c r="N98" s="141"/>
      <c r="O98" s="141"/>
      <c r="P98" s="141"/>
      <c r="Q98" s="141"/>
      <c r="R98" s="141"/>
      <c r="S98" s="141"/>
    </row>
    <row r="99" spans="1:19">
      <c r="A99" s="96"/>
      <c r="B99" s="201"/>
      <c r="G99" s="108" t="s">
        <v>245</v>
      </c>
      <c r="H99" s="146">
        <f t="shared" ref="H99:S99" si="17">H48/ABS(H30+0.000001)</f>
        <v>4.9999999500000004E-5</v>
      </c>
      <c r="I99" s="146">
        <f t="shared" si="17"/>
        <v>5.0000000500000007E-5</v>
      </c>
      <c r="J99" s="146">
        <f t="shared" si="17"/>
        <v>5.0000000500000007E-5</v>
      </c>
      <c r="K99" s="146">
        <f t="shared" si="17"/>
        <v>4.9999999500000004E-5</v>
      </c>
      <c r="L99" s="146">
        <f t="shared" si="17"/>
        <v>0</v>
      </c>
      <c r="M99" s="146">
        <f t="shared" si="17"/>
        <v>0</v>
      </c>
      <c r="N99" s="146">
        <f t="shared" si="17"/>
        <v>0</v>
      </c>
      <c r="O99" s="146">
        <f t="shared" si="17"/>
        <v>0</v>
      </c>
      <c r="P99" s="146">
        <f t="shared" si="17"/>
        <v>0</v>
      </c>
      <c r="Q99" s="146">
        <f t="shared" si="17"/>
        <v>0</v>
      </c>
      <c r="R99" s="146">
        <f t="shared" si="17"/>
        <v>0</v>
      </c>
      <c r="S99" s="146">
        <f t="shared" si="17"/>
        <v>0</v>
      </c>
    </row>
    <row r="100" spans="1:19">
      <c r="A100" s="96"/>
      <c r="B100" s="201"/>
      <c r="G100" s="108" t="s">
        <v>245</v>
      </c>
      <c r="H100" s="217">
        <f t="shared" ref="H100:S100" si="18">H46/ABS(H32+0.000001)</f>
        <v>5000</v>
      </c>
      <c r="I100" s="217">
        <f t="shared" si="18"/>
        <v>5000</v>
      </c>
      <c r="J100" s="217">
        <f t="shared" si="18"/>
        <v>5000</v>
      </c>
      <c r="K100" s="217">
        <f t="shared" si="18"/>
        <v>5000</v>
      </c>
      <c r="L100" s="217">
        <f t="shared" si="18"/>
        <v>0</v>
      </c>
      <c r="M100" s="217">
        <f t="shared" si="18"/>
        <v>0</v>
      </c>
      <c r="N100" s="217">
        <f t="shared" si="18"/>
        <v>0</v>
      </c>
      <c r="O100" s="217">
        <f t="shared" si="18"/>
        <v>0</v>
      </c>
      <c r="P100" s="217">
        <f t="shared" si="18"/>
        <v>0</v>
      </c>
      <c r="Q100" s="217">
        <f t="shared" si="18"/>
        <v>0</v>
      </c>
      <c r="R100" s="217">
        <f t="shared" si="18"/>
        <v>0</v>
      </c>
      <c r="S100" s="217">
        <f t="shared" si="18"/>
        <v>0</v>
      </c>
    </row>
    <row r="101" spans="1:19">
      <c r="A101" s="96"/>
      <c r="B101" s="201"/>
      <c r="G101" s="79" t="s">
        <v>243</v>
      </c>
      <c r="H101" s="216">
        <f>IF(MIN(H99,H100)&gt;1,0,MIN(H99,H100))</f>
        <v>4.9999999500000004E-5</v>
      </c>
      <c r="I101" s="216">
        <f t="shared" ref="I101:S101" si="19">IF(MIN(I99,I100)&gt;1,0,MIN(I99,I100))</f>
        <v>5.0000000500000007E-5</v>
      </c>
      <c r="J101" s="216">
        <f t="shared" si="19"/>
        <v>5.0000000500000007E-5</v>
      </c>
      <c r="K101" s="216">
        <f t="shared" si="19"/>
        <v>4.9999999500000004E-5</v>
      </c>
      <c r="L101" s="216">
        <f t="shared" si="19"/>
        <v>0</v>
      </c>
      <c r="M101" s="216">
        <f t="shared" si="19"/>
        <v>0</v>
      </c>
      <c r="N101" s="216">
        <f t="shared" si="19"/>
        <v>0</v>
      </c>
      <c r="O101" s="216">
        <f t="shared" si="19"/>
        <v>0</v>
      </c>
      <c r="P101" s="216">
        <f t="shared" si="19"/>
        <v>0</v>
      </c>
      <c r="Q101" s="216">
        <f t="shared" si="19"/>
        <v>0</v>
      </c>
      <c r="R101" s="216">
        <f t="shared" si="19"/>
        <v>0</v>
      </c>
      <c r="S101" s="216">
        <f t="shared" si="19"/>
        <v>0</v>
      </c>
    </row>
    <row r="102" spans="1:19">
      <c r="A102" s="96"/>
      <c r="B102" s="201"/>
      <c r="H102" s="79" t="s">
        <v>249</v>
      </c>
    </row>
    <row r="103" spans="1:19">
      <c r="A103" s="96"/>
      <c r="B103" s="201"/>
      <c r="G103" s="141" t="s">
        <v>245</v>
      </c>
      <c r="H103" s="79">
        <f t="shared" ref="H103:S103" si="20">H47/ABS(H30+0.000001)</f>
        <v>4.9999999500000004E-5</v>
      </c>
      <c r="I103" s="79">
        <f t="shared" si="20"/>
        <v>5.0000000500000007E-5</v>
      </c>
      <c r="J103" s="79">
        <f t="shared" si="20"/>
        <v>5.0000000500000007E-5</v>
      </c>
      <c r="K103" s="79">
        <f t="shared" si="20"/>
        <v>4.9999999500000004E-5</v>
      </c>
      <c r="L103" s="79">
        <f t="shared" si="20"/>
        <v>0</v>
      </c>
      <c r="M103" s="79">
        <f t="shared" si="20"/>
        <v>0</v>
      </c>
      <c r="N103" s="79">
        <f t="shared" si="20"/>
        <v>0</v>
      </c>
      <c r="O103" s="79">
        <f t="shared" si="20"/>
        <v>0</v>
      </c>
      <c r="P103" s="79">
        <f t="shared" si="20"/>
        <v>0</v>
      </c>
      <c r="Q103" s="79">
        <f t="shared" si="20"/>
        <v>0</v>
      </c>
      <c r="R103" s="79">
        <f t="shared" si="20"/>
        <v>0</v>
      </c>
      <c r="S103" s="79">
        <f t="shared" si="20"/>
        <v>0</v>
      </c>
    </row>
    <row r="104" spans="1:19">
      <c r="A104" s="96"/>
      <c r="B104" s="201"/>
      <c r="G104" s="141" t="s">
        <v>245</v>
      </c>
      <c r="H104" s="79">
        <f t="shared" ref="H104:S104" si="21">H46/ABS(H31+0.000001)</f>
        <v>4.9999999500000004E-5</v>
      </c>
      <c r="I104" s="79">
        <f t="shared" si="21"/>
        <v>4.9999999500000004E-5</v>
      </c>
      <c r="J104" s="79">
        <f t="shared" si="21"/>
        <v>5.0000000500000007E-5</v>
      </c>
      <c r="K104" s="79">
        <f t="shared" si="21"/>
        <v>5.0000000500000007E-5</v>
      </c>
      <c r="L104" s="79">
        <f t="shared" si="21"/>
        <v>0</v>
      </c>
      <c r="M104" s="79">
        <f t="shared" si="21"/>
        <v>0</v>
      </c>
      <c r="N104" s="79">
        <f t="shared" si="21"/>
        <v>0</v>
      </c>
      <c r="O104" s="79">
        <f t="shared" si="21"/>
        <v>0</v>
      </c>
      <c r="P104" s="79">
        <f t="shared" si="21"/>
        <v>0</v>
      </c>
      <c r="Q104" s="79">
        <f t="shared" si="21"/>
        <v>0</v>
      </c>
      <c r="R104" s="79">
        <f t="shared" si="21"/>
        <v>0</v>
      </c>
      <c r="S104" s="79">
        <f t="shared" si="21"/>
        <v>0</v>
      </c>
    </row>
    <row r="105" spans="1:19">
      <c r="A105" s="96"/>
      <c r="B105" s="201"/>
      <c r="G105" s="79" t="s">
        <v>243</v>
      </c>
      <c r="H105" s="216">
        <f>IF(MIN(H103,H104)&gt;1,0,MIN(H103,H104))</f>
        <v>4.9999999500000004E-5</v>
      </c>
      <c r="I105" s="216">
        <f t="shared" ref="I105:S105" si="22">IF(MIN(I103,I104)&gt;1,0,MIN(I103,I104))</f>
        <v>4.9999999500000004E-5</v>
      </c>
      <c r="J105" s="216">
        <f t="shared" si="22"/>
        <v>5.0000000500000007E-5</v>
      </c>
      <c r="K105" s="216">
        <f t="shared" si="22"/>
        <v>4.9999999500000004E-5</v>
      </c>
      <c r="L105" s="216">
        <f t="shared" si="22"/>
        <v>0</v>
      </c>
      <c r="M105" s="216">
        <f t="shared" si="22"/>
        <v>0</v>
      </c>
      <c r="N105" s="216">
        <f t="shared" si="22"/>
        <v>0</v>
      </c>
      <c r="O105" s="216">
        <f t="shared" si="22"/>
        <v>0</v>
      </c>
      <c r="P105" s="216">
        <f t="shared" si="22"/>
        <v>0</v>
      </c>
      <c r="Q105" s="216">
        <f t="shared" si="22"/>
        <v>0</v>
      </c>
      <c r="R105" s="216">
        <f t="shared" si="22"/>
        <v>0</v>
      </c>
      <c r="S105" s="216">
        <f t="shared" si="22"/>
        <v>0</v>
      </c>
    </row>
    <row r="106" spans="1:19">
      <c r="A106" s="96"/>
      <c r="B106" s="201"/>
    </row>
    <row r="107" spans="1:19">
      <c r="A107" s="96"/>
      <c r="B107" s="201"/>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3">H55/(H32+0.000001)</f>
        <v>0</v>
      </c>
      <c r="I109" s="216">
        <f t="shared" si="23"/>
        <v>0</v>
      </c>
      <c r="J109" s="216">
        <f t="shared" si="23"/>
        <v>0</v>
      </c>
      <c r="K109" s="216">
        <f t="shared" si="23"/>
        <v>0</v>
      </c>
      <c r="L109" s="216">
        <f t="shared" si="23"/>
        <v>0</v>
      </c>
      <c r="M109" s="216">
        <f t="shared" si="23"/>
        <v>0</v>
      </c>
      <c r="N109" s="216">
        <f t="shared" si="23"/>
        <v>0</v>
      </c>
      <c r="O109" s="216">
        <f t="shared" si="23"/>
        <v>0</v>
      </c>
      <c r="P109" s="216">
        <f t="shared" si="23"/>
        <v>0</v>
      </c>
      <c r="Q109" s="216">
        <f t="shared" si="23"/>
        <v>0</v>
      </c>
      <c r="R109" s="216">
        <f t="shared" si="23"/>
        <v>0</v>
      </c>
      <c r="S109" s="216">
        <f t="shared" si="23"/>
        <v>0</v>
      </c>
    </row>
    <row r="110" spans="1:19">
      <c r="G110" s="141" t="s">
        <v>245</v>
      </c>
      <c r="H110" s="218">
        <f t="shared" ref="H110:S110" si="24">H56/(H31+0.000001)</f>
        <v>0</v>
      </c>
      <c r="I110" s="218">
        <f t="shared" si="24"/>
        <v>0</v>
      </c>
      <c r="J110" s="218">
        <f t="shared" si="24"/>
        <v>0</v>
      </c>
      <c r="K110" s="218">
        <f t="shared" si="24"/>
        <v>0</v>
      </c>
      <c r="L110" s="218">
        <f t="shared" si="24"/>
        <v>0</v>
      </c>
      <c r="M110" s="218">
        <f t="shared" si="24"/>
        <v>0</v>
      </c>
      <c r="N110" s="218">
        <f t="shared" si="24"/>
        <v>0</v>
      </c>
      <c r="O110" s="218">
        <f t="shared" si="24"/>
        <v>0</v>
      </c>
      <c r="P110" s="218">
        <f t="shared" si="24"/>
        <v>0</v>
      </c>
      <c r="Q110" s="218">
        <f t="shared" si="24"/>
        <v>0</v>
      </c>
      <c r="R110" s="218">
        <f t="shared" si="24"/>
        <v>0</v>
      </c>
      <c r="S110" s="218">
        <f t="shared" si="24"/>
        <v>0</v>
      </c>
    </row>
    <row r="111" spans="1:19">
      <c r="G111" s="79" t="s">
        <v>244</v>
      </c>
      <c r="H111" s="136">
        <f>SIGN(H109+0.000000000001)*SIGN(H110+0.000000000001)</f>
        <v>1</v>
      </c>
      <c r="I111" s="136">
        <f t="shared" ref="I111:S111" si="25">SIGN(I109+0.000000000001)*SIGN(I110+0.000000000001)</f>
        <v>1</v>
      </c>
      <c r="J111" s="136">
        <f t="shared" si="25"/>
        <v>1</v>
      </c>
      <c r="K111" s="136">
        <f t="shared" si="25"/>
        <v>1</v>
      </c>
      <c r="L111" s="136">
        <f t="shared" si="25"/>
        <v>1</v>
      </c>
      <c r="M111" s="136">
        <f t="shared" si="25"/>
        <v>1</v>
      </c>
      <c r="N111" s="136">
        <f t="shared" si="25"/>
        <v>1</v>
      </c>
      <c r="O111" s="136">
        <f t="shared" si="25"/>
        <v>1</v>
      </c>
      <c r="P111" s="136">
        <f t="shared" si="25"/>
        <v>1</v>
      </c>
      <c r="Q111" s="136">
        <f t="shared" si="25"/>
        <v>1</v>
      </c>
      <c r="R111" s="136">
        <f t="shared" si="25"/>
        <v>1</v>
      </c>
      <c r="S111" s="136">
        <f t="shared" si="25"/>
        <v>1</v>
      </c>
    </row>
    <row r="112" spans="1:19">
      <c r="G112" s="79" t="s">
        <v>243</v>
      </c>
      <c r="H112" s="216">
        <f>IF(H111*MIN(ABS(H109),ABS(H110))&gt;1,0,H111*MIN(ABS(H109),ABS(H110)))</f>
        <v>0</v>
      </c>
      <c r="I112" s="216">
        <f t="shared" ref="I112:S112" si="26">IF(I111*MIN(ABS(I109),ABS(I110))&gt;1,0,I111*MIN(ABS(I109),ABS(I110)))</f>
        <v>0</v>
      </c>
      <c r="J112" s="216">
        <f t="shared" si="26"/>
        <v>0</v>
      </c>
      <c r="K112" s="216">
        <f t="shared" si="26"/>
        <v>0</v>
      </c>
      <c r="L112" s="216">
        <f t="shared" si="26"/>
        <v>0</v>
      </c>
      <c r="M112" s="216">
        <f t="shared" si="26"/>
        <v>0</v>
      </c>
      <c r="N112" s="216">
        <f t="shared" si="26"/>
        <v>0</v>
      </c>
      <c r="O112" s="216">
        <f t="shared" si="26"/>
        <v>0</v>
      </c>
      <c r="P112" s="216">
        <f t="shared" si="26"/>
        <v>0</v>
      </c>
      <c r="Q112" s="216">
        <f t="shared" si="26"/>
        <v>0</v>
      </c>
      <c r="R112" s="216">
        <f t="shared" si="26"/>
        <v>0</v>
      </c>
      <c r="S112" s="216">
        <f t="shared" si="26"/>
        <v>0</v>
      </c>
    </row>
    <row r="113" spans="7:19">
      <c r="H113" s="96" t="s">
        <v>241</v>
      </c>
      <c r="I113" s="96"/>
      <c r="J113" s="96"/>
      <c r="K113" s="96"/>
      <c r="L113" s="96"/>
      <c r="M113" s="96"/>
      <c r="N113" s="96"/>
      <c r="O113" s="96"/>
      <c r="P113" s="96"/>
      <c r="Q113" s="96"/>
      <c r="R113" s="96"/>
      <c r="S113" s="96"/>
    </row>
    <row r="114" spans="7:19">
      <c r="G114" s="108" t="s">
        <v>245</v>
      </c>
      <c r="H114" s="146">
        <f t="shared" ref="H114:S114" si="27">-H56/(H30+0.000001)</f>
        <v>0</v>
      </c>
      <c r="I114" s="146">
        <f t="shared" si="27"/>
        <v>0</v>
      </c>
      <c r="J114" s="146">
        <f t="shared" si="27"/>
        <v>0</v>
      </c>
      <c r="K114" s="146">
        <f t="shared" si="27"/>
        <v>0</v>
      </c>
      <c r="L114" s="146">
        <f t="shared" si="27"/>
        <v>0</v>
      </c>
      <c r="M114" s="146">
        <f t="shared" si="27"/>
        <v>0</v>
      </c>
      <c r="N114" s="146">
        <f t="shared" si="27"/>
        <v>0</v>
      </c>
      <c r="O114" s="146">
        <f t="shared" si="27"/>
        <v>0</v>
      </c>
      <c r="P114" s="146">
        <f t="shared" si="27"/>
        <v>0</v>
      </c>
      <c r="Q114" s="146">
        <f t="shared" si="27"/>
        <v>0</v>
      </c>
      <c r="R114" s="146">
        <f t="shared" si="27"/>
        <v>0</v>
      </c>
      <c r="S114" s="146">
        <f t="shared" si="27"/>
        <v>0</v>
      </c>
    </row>
    <row r="115" spans="7:19">
      <c r="G115" s="108" t="s">
        <v>245</v>
      </c>
      <c r="H115" s="146">
        <f t="shared" ref="H115:S115" si="28">H54/(H32+0.000001)</f>
        <v>0</v>
      </c>
      <c r="I115" s="146">
        <f t="shared" si="28"/>
        <v>0</v>
      </c>
      <c r="J115" s="146">
        <f t="shared" si="28"/>
        <v>0</v>
      </c>
      <c r="K115" s="146">
        <f t="shared" si="28"/>
        <v>0</v>
      </c>
      <c r="L115" s="146">
        <f t="shared" si="28"/>
        <v>0</v>
      </c>
      <c r="M115" s="146">
        <f t="shared" si="28"/>
        <v>0</v>
      </c>
      <c r="N115" s="146">
        <f t="shared" si="28"/>
        <v>0</v>
      </c>
      <c r="O115" s="146">
        <f t="shared" si="28"/>
        <v>0</v>
      </c>
      <c r="P115" s="146">
        <f t="shared" si="28"/>
        <v>0</v>
      </c>
      <c r="Q115" s="146">
        <f t="shared" si="28"/>
        <v>0</v>
      </c>
      <c r="R115" s="146">
        <f t="shared" si="28"/>
        <v>0</v>
      </c>
      <c r="S115" s="146">
        <f t="shared" si="28"/>
        <v>0</v>
      </c>
    </row>
    <row r="116" spans="7:19">
      <c r="G116" s="146" t="s">
        <v>244</v>
      </c>
      <c r="H116" s="219">
        <f>SIGN(H114+0.000000000001)*SIGN(H115+0.000000000001)</f>
        <v>1</v>
      </c>
      <c r="I116" s="219">
        <f t="shared" ref="I116:S116" si="29">SIGN(I114+0.000000000001)*SIGN(I115+0.000000000001)</f>
        <v>1</v>
      </c>
      <c r="J116" s="219">
        <f t="shared" si="29"/>
        <v>1</v>
      </c>
      <c r="K116" s="219">
        <f t="shared" si="29"/>
        <v>1</v>
      </c>
      <c r="L116" s="219">
        <f t="shared" si="29"/>
        <v>1</v>
      </c>
      <c r="M116" s="219">
        <f t="shared" si="29"/>
        <v>1</v>
      </c>
      <c r="N116" s="219">
        <f t="shared" si="29"/>
        <v>1</v>
      </c>
      <c r="O116" s="219">
        <f t="shared" si="29"/>
        <v>1</v>
      </c>
      <c r="P116" s="219">
        <f t="shared" si="29"/>
        <v>1</v>
      </c>
      <c r="Q116" s="219">
        <f t="shared" si="29"/>
        <v>1</v>
      </c>
      <c r="R116" s="219">
        <f t="shared" si="29"/>
        <v>1</v>
      </c>
      <c r="S116" s="219">
        <f t="shared" si="29"/>
        <v>1</v>
      </c>
    </row>
    <row r="117" spans="7:19">
      <c r="G117" s="146" t="s">
        <v>243</v>
      </c>
      <c r="H117" s="220">
        <f>IF(H116*MIN(ABS(H114),ABS(H115))&gt;1,0,H116*MIN(ABS(H114),ABS(H115)))</f>
        <v>0</v>
      </c>
      <c r="I117" s="220">
        <f t="shared" ref="I117:S117" si="30">IF(I116*MIN(ABS(I114),ABS(I115))&gt;1,0,I116*MIN(ABS(I114),ABS(I115)))</f>
        <v>0</v>
      </c>
      <c r="J117" s="220">
        <f t="shared" si="30"/>
        <v>0</v>
      </c>
      <c r="K117" s="220">
        <f t="shared" si="30"/>
        <v>0</v>
      </c>
      <c r="L117" s="220">
        <f t="shared" si="30"/>
        <v>0</v>
      </c>
      <c r="M117" s="220">
        <f t="shared" si="30"/>
        <v>0</v>
      </c>
      <c r="N117" s="220">
        <f t="shared" si="30"/>
        <v>0</v>
      </c>
      <c r="O117" s="220">
        <f t="shared" si="30"/>
        <v>0</v>
      </c>
      <c r="P117" s="220">
        <f t="shared" si="30"/>
        <v>0</v>
      </c>
      <c r="Q117" s="220">
        <f t="shared" si="30"/>
        <v>0</v>
      </c>
      <c r="R117" s="220">
        <f t="shared" si="30"/>
        <v>0</v>
      </c>
      <c r="S117" s="220">
        <f t="shared" si="30"/>
        <v>0</v>
      </c>
    </row>
    <row r="118" spans="7:19">
      <c r="H118" s="96" t="s">
        <v>242</v>
      </c>
      <c r="I118" s="96"/>
      <c r="J118" s="96"/>
      <c r="K118" s="96"/>
      <c r="L118" s="96"/>
      <c r="M118" s="96"/>
      <c r="N118" s="96"/>
      <c r="O118" s="96"/>
      <c r="P118" s="96"/>
      <c r="Q118" s="96"/>
      <c r="R118" s="96"/>
      <c r="S118" s="96"/>
    </row>
    <row r="119" spans="7:19">
      <c r="G119" s="141" t="s">
        <v>245</v>
      </c>
      <c r="H119" s="216">
        <f t="shared" ref="H119:S119" si="31">H55/(H30+0.000001)</f>
        <v>0</v>
      </c>
      <c r="I119" s="216">
        <f t="shared" si="31"/>
        <v>0</v>
      </c>
      <c r="J119" s="216">
        <f t="shared" si="31"/>
        <v>0</v>
      </c>
      <c r="K119" s="216">
        <f t="shared" si="31"/>
        <v>0</v>
      </c>
      <c r="L119" s="216">
        <f t="shared" si="31"/>
        <v>0</v>
      </c>
      <c r="M119" s="216">
        <f t="shared" si="31"/>
        <v>0</v>
      </c>
      <c r="N119" s="216">
        <f t="shared" si="31"/>
        <v>0</v>
      </c>
      <c r="O119" s="216">
        <f t="shared" si="31"/>
        <v>0</v>
      </c>
      <c r="P119" s="216">
        <f t="shared" si="31"/>
        <v>0</v>
      </c>
      <c r="Q119" s="216">
        <f t="shared" si="31"/>
        <v>0</v>
      </c>
      <c r="R119" s="216">
        <f t="shared" si="31"/>
        <v>0</v>
      </c>
      <c r="S119" s="216">
        <f t="shared" si="31"/>
        <v>0</v>
      </c>
    </row>
    <row r="120" spans="7:19">
      <c r="G120" s="141" t="s">
        <v>245</v>
      </c>
      <c r="H120" s="79">
        <f t="shared" ref="H120:S120" si="32">H54/(H31+0.000001)</f>
        <v>0</v>
      </c>
      <c r="I120" s="79">
        <f t="shared" si="32"/>
        <v>0</v>
      </c>
      <c r="J120" s="79">
        <f t="shared" si="32"/>
        <v>0</v>
      </c>
      <c r="K120" s="79">
        <f t="shared" si="32"/>
        <v>0</v>
      </c>
      <c r="L120" s="79">
        <f t="shared" si="32"/>
        <v>0</v>
      </c>
      <c r="M120" s="79">
        <f t="shared" si="32"/>
        <v>0</v>
      </c>
      <c r="N120" s="79">
        <f t="shared" si="32"/>
        <v>0</v>
      </c>
      <c r="O120" s="79">
        <f t="shared" si="32"/>
        <v>0</v>
      </c>
      <c r="P120" s="79">
        <f t="shared" si="32"/>
        <v>0</v>
      </c>
      <c r="Q120" s="79">
        <f t="shared" si="32"/>
        <v>0</v>
      </c>
      <c r="R120" s="79">
        <f t="shared" si="32"/>
        <v>0</v>
      </c>
      <c r="S120" s="79">
        <f t="shared" si="32"/>
        <v>0</v>
      </c>
    </row>
    <row r="121" spans="7:19">
      <c r="G121" s="79" t="s">
        <v>244</v>
      </c>
      <c r="H121" s="136">
        <f>SIGN(H119+0.000000000001)*SIGN(H120+0.000000000001)</f>
        <v>1</v>
      </c>
      <c r="I121" s="136">
        <f t="shared" ref="I121:S121" si="33">SIGN(I119+0.000000000001)*SIGN(I120+0.000000000001)</f>
        <v>1</v>
      </c>
      <c r="J121" s="136">
        <f t="shared" si="33"/>
        <v>1</v>
      </c>
      <c r="K121" s="136">
        <f t="shared" si="33"/>
        <v>1</v>
      </c>
      <c r="L121" s="136">
        <f t="shared" si="33"/>
        <v>1</v>
      </c>
      <c r="M121" s="136">
        <f t="shared" si="33"/>
        <v>1</v>
      </c>
      <c r="N121" s="136">
        <f t="shared" si="33"/>
        <v>1</v>
      </c>
      <c r="O121" s="136">
        <f t="shared" si="33"/>
        <v>1</v>
      </c>
      <c r="P121" s="136">
        <f t="shared" si="33"/>
        <v>1</v>
      </c>
      <c r="Q121" s="136">
        <f t="shared" si="33"/>
        <v>1</v>
      </c>
      <c r="R121" s="136">
        <f t="shared" si="33"/>
        <v>1</v>
      </c>
      <c r="S121" s="136">
        <f t="shared" si="33"/>
        <v>1</v>
      </c>
    </row>
    <row r="122" spans="7:19">
      <c r="G122" s="79" t="s">
        <v>243</v>
      </c>
      <c r="H122" s="216">
        <f>IF(H121*MIN(ABS(H119),ABS(H120))&gt;1,0,H121*MIN(ABS(H119),ABS(H120)))</f>
        <v>0</v>
      </c>
      <c r="I122" s="216">
        <f t="shared" ref="I122:S122" si="34">IF(I121*MIN(ABS(I119),ABS(I120))&gt;1,0,I121*MIN(ABS(I119),ABS(I120)))</f>
        <v>0</v>
      </c>
      <c r="J122" s="216">
        <f t="shared" si="34"/>
        <v>0</v>
      </c>
      <c r="K122" s="216">
        <f t="shared" si="34"/>
        <v>0</v>
      </c>
      <c r="L122" s="216">
        <f t="shared" si="34"/>
        <v>0</v>
      </c>
      <c r="M122" s="216">
        <f t="shared" si="34"/>
        <v>0</v>
      </c>
      <c r="N122" s="216">
        <f t="shared" si="34"/>
        <v>0</v>
      </c>
      <c r="O122" s="216">
        <f t="shared" si="34"/>
        <v>0</v>
      </c>
      <c r="P122" s="216">
        <f t="shared" si="34"/>
        <v>0</v>
      </c>
      <c r="Q122" s="216">
        <f t="shared" si="34"/>
        <v>0</v>
      </c>
      <c r="R122" s="216">
        <f t="shared" si="34"/>
        <v>0</v>
      </c>
      <c r="S122" s="216">
        <f t="shared" si="34"/>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126"/>
  <sheetViews>
    <sheetView topLeftCell="A32" zoomScale="75" zoomScaleNormal="75" zoomScalePageLayoutView="75" workbookViewId="0">
      <selection activeCell="H47" sqref="H47:K49"/>
    </sheetView>
  </sheetViews>
  <sheetFormatPr baseColWidth="10" defaultColWidth="11" defaultRowHeight="16"/>
  <cols>
    <col min="1" max="1" width="45.33203125" style="79" customWidth="1"/>
    <col min="2" max="2" width="19.83203125" style="79" customWidth="1"/>
    <col min="3" max="3" width="39.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Loads'!A243</f>
        <v>CS 8</v>
      </c>
      <c r="B1" s="197" t="str">
        <f>'CSs and Loads'!A121</f>
        <v>X-Axis structure</v>
      </c>
    </row>
    <row r="2" spans="1:18">
      <c r="A2" s="80" t="s">
        <v>126</v>
      </c>
      <c r="I2" s="198"/>
      <c r="L2" s="199"/>
      <c r="M2" s="199"/>
      <c r="N2" s="199"/>
    </row>
    <row r="3" spans="1:18">
      <c r="A3" s="200" t="s">
        <v>105</v>
      </c>
      <c r="E3" s="389" t="s">
        <v>358</v>
      </c>
      <c r="F3" s="389"/>
      <c r="G3" s="389"/>
      <c r="H3" s="389"/>
      <c r="I3" s="389"/>
      <c r="J3" s="389"/>
      <c r="K3" s="389"/>
      <c r="L3" s="389"/>
      <c r="M3" s="389"/>
      <c r="O3" s="201"/>
      <c r="P3" s="201"/>
      <c r="Q3" s="201"/>
      <c r="R3" s="201"/>
    </row>
    <row r="4" spans="1:18">
      <c r="A4" s="200"/>
      <c r="C4" s="80" t="s">
        <v>355</v>
      </c>
      <c r="D4" s="80"/>
      <c r="E4" s="401" t="s">
        <v>357</v>
      </c>
      <c r="F4" s="401"/>
      <c r="G4" s="401"/>
      <c r="H4" s="401"/>
      <c r="I4" s="401"/>
      <c r="J4" s="401"/>
      <c r="K4" s="401"/>
      <c r="L4" s="401"/>
      <c r="M4" s="401"/>
      <c r="O4" s="201"/>
      <c r="P4" s="201"/>
      <c r="Q4" s="201"/>
      <c r="R4" s="201"/>
    </row>
    <row r="5" spans="1:18">
      <c r="A5" s="200"/>
      <c r="C5" s="96" t="s">
        <v>353</v>
      </c>
      <c r="D5" s="80">
        <v>25</v>
      </c>
      <c r="E5" s="112" t="s">
        <v>268</v>
      </c>
      <c r="F5" s="366" t="s">
        <v>271</v>
      </c>
      <c r="G5" s="139">
        <v>0</v>
      </c>
      <c r="H5" s="139">
        <v>0</v>
      </c>
      <c r="I5" s="139">
        <v>0</v>
      </c>
      <c r="J5" s="139">
        <v>0</v>
      </c>
      <c r="K5" s="139">
        <v>0</v>
      </c>
      <c r="L5" s="139">
        <v>0</v>
      </c>
      <c r="M5" s="206" t="s">
        <v>262</v>
      </c>
      <c r="O5" s="201"/>
      <c r="P5" s="201"/>
      <c r="Q5" s="201"/>
      <c r="R5" s="201"/>
    </row>
    <row r="6" spans="1:18">
      <c r="A6" s="200"/>
      <c r="C6" s="96" t="s">
        <v>32</v>
      </c>
      <c r="D6" s="80">
        <f>1770*9.8</f>
        <v>17346</v>
      </c>
      <c r="E6" s="112" t="s">
        <v>269</v>
      </c>
      <c r="F6" s="366"/>
      <c r="G6" s="139">
        <v>0</v>
      </c>
      <c r="H6" s="139">
        <v>0</v>
      </c>
      <c r="I6" s="139">
        <v>0</v>
      </c>
      <c r="J6" s="139">
        <v>0</v>
      </c>
      <c r="K6" s="139">
        <v>0</v>
      </c>
      <c r="L6" s="139">
        <v>0</v>
      </c>
      <c r="M6" s="206" t="s">
        <v>263</v>
      </c>
      <c r="O6" s="201"/>
      <c r="P6" s="201"/>
      <c r="Q6" s="201"/>
      <c r="R6" s="201"/>
    </row>
    <row r="7" spans="1:18">
      <c r="A7" s="200"/>
      <c r="C7" s="96" t="s">
        <v>230</v>
      </c>
      <c r="D7" s="80">
        <f>647*1000</f>
        <v>647000</v>
      </c>
      <c r="E7" s="112" t="s">
        <v>270</v>
      </c>
      <c r="F7" s="366"/>
      <c r="G7" s="139">
        <v>0</v>
      </c>
      <c r="H7" s="139">
        <v>0</v>
      </c>
      <c r="I7" s="139">
        <v>0</v>
      </c>
      <c r="J7" s="139">
        <v>0</v>
      </c>
      <c r="K7" s="139">
        <v>0</v>
      </c>
      <c r="L7" s="139">
        <v>0</v>
      </c>
      <c r="M7" s="206" t="s">
        <v>264</v>
      </c>
      <c r="O7" s="201"/>
      <c r="P7" s="201"/>
      <c r="Q7" s="201"/>
      <c r="R7" s="201"/>
    </row>
    <row r="8" spans="1:18">
      <c r="A8" s="200"/>
      <c r="C8" s="96" t="s">
        <v>33</v>
      </c>
      <c r="D8" s="80">
        <v>3</v>
      </c>
      <c r="E8" s="112" t="s">
        <v>259</v>
      </c>
      <c r="F8" s="366"/>
      <c r="G8" s="139">
        <v>0</v>
      </c>
      <c r="H8" s="139">
        <v>0</v>
      </c>
      <c r="I8" s="139">
        <v>0</v>
      </c>
      <c r="J8" s="139">
        <v>0</v>
      </c>
      <c r="K8" s="139">
        <v>0</v>
      </c>
      <c r="L8" s="139">
        <v>0</v>
      </c>
      <c r="M8" s="206" t="s">
        <v>265</v>
      </c>
      <c r="O8" s="201"/>
      <c r="P8" s="201"/>
      <c r="Q8" s="201"/>
      <c r="R8" s="201"/>
    </row>
    <row r="9" spans="1:18">
      <c r="A9" s="200"/>
      <c r="C9" s="96" t="s">
        <v>34</v>
      </c>
      <c r="D9" s="80">
        <v>0.01</v>
      </c>
      <c r="E9" s="112" t="s">
        <v>261</v>
      </c>
      <c r="F9" s="366"/>
      <c r="G9" s="139">
        <v>0</v>
      </c>
      <c r="H9" s="139">
        <v>0</v>
      </c>
      <c r="I9" s="139">
        <v>0</v>
      </c>
      <c r="J9" s="139">
        <v>0</v>
      </c>
      <c r="K9" s="139">
        <v>0</v>
      </c>
      <c r="L9" s="139">
        <v>0</v>
      </c>
      <c r="M9" s="206" t="s">
        <v>266</v>
      </c>
      <c r="O9" s="201"/>
      <c r="P9" s="201"/>
      <c r="Q9" s="201"/>
      <c r="R9" s="201"/>
    </row>
    <row r="10" spans="1:18">
      <c r="A10" s="200"/>
      <c r="C10" s="96" t="s">
        <v>274</v>
      </c>
      <c r="D10" s="81">
        <f>D6/(D8*D9)</f>
        <v>578200</v>
      </c>
      <c r="E10" s="112" t="s">
        <v>260</v>
      </c>
      <c r="F10" s="366"/>
      <c r="G10" s="139">
        <v>0</v>
      </c>
      <c r="H10" s="139">
        <v>0</v>
      </c>
      <c r="I10" s="139">
        <v>0</v>
      </c>
      <c r="J10" s="139">
        <v>0</v>
      </c>
      <c r="K10" s="139">
        <v>0</v>
      </c>
      <c r="L10" s="139">
        <v>0</v>
      </c>
      <c r="M10" s="206" t="s">
        <v>267</v>
      </c>
      <c r="O10" s="201"/>
      <c r="P10" s="201"/>
      <c r="Q10" s="201"/>
      <c r="R10" s="201"/>
    </row>
    <row r="11" spans="1:18">
      <c r="A11" s="200"/>
      <c r="C11" s="96" t="s">
        <v>35</v>
      </c>
      <c r="D11" s="80">
        <v>25</v>
      </c>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00"/>
      <c r="C21" s="96" t="s">
        <v>304</v>
      </c>
      <c r="D21" s="80">
        <v>3</v>
      </c>
      <c r="O21" s="201"/>
      <c r="P21" s="201"/>
      <c r="Q21" s="201"/>
      <c r="R21" s="201"/>
    </row>
    <row r="22" spans="1:19" ht="17" thickBot="1">
      <c r="A22" s="403" t="s">
        <v>359</v>
      </c>
      <c r="B22" s="404"/>
      <c r="C22" s="404"/>
      <c r="D22" s="404"/>
      <c r="E22" s="404"/>
      <c r="F22" s="404"/>
      <c r="G22" s="404"/>
      <c r="H22" s="404"/>
      <c r="I22" s="404"/>
      <c r="J22" s="404"/>
      <c r="K22" s="404"/>
      <c r="L22" s="404"/>
      <c r="M22" s="405"/>
      <c r="O22" s="201"/>
      <c r="P22" s="201"/>
      <c r="Q22" s="201"/>
      <c r="R22" s="201"/>
    </row>
    <row r="23" spans="1:19" ht="34">
      <c r="A23" s="263" t="s">
        <v>360</v>
      </c>
      <c r="B23" s="101"/>
      <c r="C23" s="208" t="s">
        <v>251</v>
      </c>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5.0000000000000001E-3</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5.0000000000000001E-3</v>
      </c>
      <c r="C46" s="85"/>
      <c r="D46" s="210"/>
      <c r="E46" s="210"/>
      <c r="F46" s="210"/>
      <c r="G46" s="80" t="s">
        <v>293</v>
      </c>
    </row>
    <row r="47" spans="1:19">
      <c r="A47" s="96" t="s">
        <v>117</v>
      </c>
      <c r="B47" s="99">
        <f t="shared" si="8"/>
        <v>5.0000000000000001E-3</v>
      </c>
      <c r="C47" s="85"/>
      <c r="D47" s="192"/>
      <c r="E47" s="192"/>
      <c r="F47" s="192"/>
      <c r="G47" s="96" t="s">
        <v>115</v>
      </c>
      <c r="H47" s="205">
        <f t="shared" ref="H47:K49" si="9">IF(REBS="YES", REB, 0.005)</f>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1.0000000000000007E-4</v>
      </c>
      <c r="C48" s="85"/>
      <c r="D48" s="210"/>
      <c r="E48" s="210"/>
      <c r="F48" s="210"/>
      <c r="G48" s="96" t="s">
        <v>116</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0">
      <c r="A49" s="96" t="s">
        <v>81</v>
      </c>
      <c r="B49" s="99">
        <f>SQRT((H52^2+I52^2+J52^2+K52^2+L52^2+M52^2+N52^2+O52^2+P52^2+Q52^2+R52^2+S52^2+B38^2)/H$28)</f>
        <v>9.9999999000000077E-5</v>
      </c>
      <c r="C49" s="85"/>
      <c r="D49" s="210"/>
      <c r="E49" s="210"/>
      <c r="F49" s="210"/>
      <c r="G49" s="96" t="s">
        <v>117</v>
      </c>
      <c r="H49" s="205">
        <f t="shared" si="9"/>
        <v>5.0000000000000001E-3</v>
      </c>
      <c r="I49" s="205">
        <f t="shared" si="9"/>
        <v>5.0000000000000001E-3</v>
      </c>
      <c r="J49" s="205">
        <f t="shared" si="9"/>
        <v>5.0000000000000001E-3</v>
      </c>
      <c r="K49" s="205">
        <f t="shared" si="9"/>
        <v>5.0000000000000001E-3</v>
      </c>
      <c r="L49" s="205">
        <v>0</v>
      </c>
      <c r="M49" s="205">
        <v>0</v>
      </c>
      <c r="N49" s="205">
        <v>0</v>
      </c>
      <c r="O49" s="205">
        <v>0</v>
      </c>
      <c r="P49" s="205">
        <v>0</v>
      </c>
      <c r="Q49" s="205">
        <v>0</v>
      </c>
      <c r="R49" s="205">
        <v>0</v>
      </c>
      <c r="S49" s="205">
        <v>0</v>
      </c>
    </row>
    <row r="50" spans="1:20">
      <c r="A50" s="96" t="s">
        <v>82</v>
      </c>
      <c r="B50" s="99">
        <f>SQRT((H53^2+I53^2+J53^2+K53^2+L53^2+M53^2+N53^2+O53^2+P53^2+Q53^2+R53^2+S53^2+B39^2)/H$28)</f>
        <v>1.0000000000000007E-4</v>
      </c>
      <c r="C50" s="85"/>
      <c r="D50" s="210"/>
      <c r="E50" s="210"/>
      <c r="F50" s="210"/>
      <c r="G50" s="80" t="s">
        <v>238</v>
      </c>
    </row>
    <row r="51" spans="1:20" ht="51">
      <c r="A51" s="207" t="s">
        <v>195</v>
      </c>
      <c r="B51" s="101"/>
      <c r="D51" s="211"/>
      <c r="E51" s="211"/>
      <c r="F51" s="211"/>
      <c r="G51" s="96" t="s">
        <v>80</v>
      </c>
      <c r="H51" s="144">
        <f>H98</f>
        <v>9.9999998000000053E-5</v>
      </c>
      <c r="I51" s="144">
        <f t="shared" ref="I51:S51" si="10">I98</f>
        <v>9.9999998000000053E-5</v>
      </c>
      <c r="J51" s="144">
        <f t="shared" si="10"/>
        <v>1.0000000200000004E-4</v>
      </c>
      <c r="K51" s="144">
        <f t="shared" si="10"/>
        <v>1.0000000200000004E-4</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0">
      <c r="A52" s="96" t="s">
        <v>115</v>
      </c>
      <c r="B52" s="99">
        <f>SQRT((H55^2+I55^2+J55^2+K55^2+L55^2+M55^2+N55^2+O55^2+P55^2+Q55^2+R55^2+S55^2)/H$28)</f>
        <v>0</v>
      </c>
      <c r="C52" s="85"/>
      <c r="D52" s="211"/>
      <c r="E52" s="211"/>
      <c r="F52" s="211"/>
      <c r="G52" s="96" t="s">
        <v>81</v>
      </c>
      <c r="H52" s="144">
        <f>H102</f>
        <v>9.9999998000000053E-5</v>
      </c>
      <c r="I52" s="144">
        <f t="shared" ref="I52:S52" si="11">I102</f>
        <v>9.9999998000000053E-5</v>
      </c>
      <c r="J52" s="144">
        <f t="shared" si="11"/>
        <v>1.0000000200000004E-4</v>
      </c>
      <c r="K52" s="144">
        <f t="shared" si="11"/>
        <v>9.9999998000000053E-5</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0">
      <c r="A53" s="96" t="s">
        <v>116</v>
      </c>
      <c r="B53" s="99">
        <f t="shared" ref="B53:B54" si="12">SQRT((H56^2+I56^2+J56^2+K56^2+L56^2+M56^2+N56^2+O56^2+P56^2+Q56^2+R56^2+S56^2)/H$28)</f>
        <v>0</v>
      </c>
      <c r="C53" s="85"/>
      <c r="D53" s="211"/>
      <c r="E53" s="211"/>
      <c r="F53" s="211"/>
      <c r="G53" s="96" t="s">
        <v>82</v>
      </c>
      <c r="H53" s="144">
        <f>H106</f>
        <v>9.9999998000000053E-5</v>
      </c>
      <c r="I53" s="144">
        <f t="shared" ref="I53:S53" si="13">I106</f>
        <v>1.0000000200000004E-4</v>
      </c>
      <c r="J53" s="144">
        <f t="shared" si="13"/>
        <v>1.0000000200000004E-4</v>
      </c>
      <c r="K53" s="144">
        <f t="shared" si="13"/>
        <v>9.9999998000000053E-5</v>
      </c>
      <c r="L53" s="144">
        <f t="shared" si="13"/>
        <v>0</v>
      </c>
      <c r="M53" s="144">
        <f t="shared" si="13"/>
        <v>0</v>
      </c>
      <c r="N53" s="144">
        <f t="shared" si="13"/>
        <v>0</v>
      </c>
      <c r="O53" s="144">
        <f t="shared" si="13"/>
        <v>0</v>
      </c>
      <c r="P53" s="144">
        <f t="shared" si="13"/>
        <v>0</v>
      </c>
      <c r="Q53" s="144">
        <f t="shared" si="13"/>
        <v>0</v>
      </c>
      <c r="R53" s="144">
        <f t="shared" si="13"/>
        <v>0</v>
      </c>
      <c r="S53" s="144">
        <f t="shared" si="13"/>
        <v>0</v>
      </c>
    </row>
    <row r="54" spans="1:20">
      <c r="A54" s="96" t="s">
        <v>117</v>
      </c>
      <c r="B54" s="99">
        <f t="shared" si="12"/>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387</v>
      </c>
      <c r="B59" s="292"/>
      <c r="G59" s="96" t="s">
        <v>80</v>
      </c>
      <c r="H59" s="213">
        <f>H113</f>
        <v>0</v>
      </c>
      <c r="I59" s="213">
        <f t="shared" ref="I59:S59" si="14">I113</f>
        <v>0</v>
      </c>
      <c r="J59" s="213">
        <f t="shared" si="14"/>
        <v>0</v>
      </c>
      <c r="K59" s="213">
        <f t="shared" si="14"/>
        <v>0</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0">
      <c r="A60" s="293" t="s">
        <v>80</v>
      </c>
      <c r="B60" s="294">
        <f>IF(MAX(ABS(B48),ABS(B55))=0, 0.001, MAX(ABS(B48),ABS(B55)))</f>
        <v>1.0000000000000007E-4</v>
      </c>
      <c r="G60" s="96" t="s">
        <v>81</v>
      </c>
      <c r="H60" s="213">
        <f>H118</f>
        <v>0</v>
      </c>
      <c r="I60" s="213">
        <f t="shared" ref="I60:S60" si="15">I118</f>
        <v>0</v>
      </c>
      <c r="J60" s="213">
        <f t="shared" si="15"/>
        <v>0</v>
      </c>
      <c r="K60" s="213">
        <f t="shared" si="15"/>
        <v>0</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0">
      <c r="A61" s="293" t="s">
        <v>81</v>
      </c>
      <c r="B61" s="294">
        <f t="shared" ref="B61:B62" si="16">IF(MAX(ABS(B49),ABS(B56))=0, 0.001, MAX(ABS(B49),ABS(B56)))</f>
        <v>9.9999999000000077E-5</v>
      </c>
      <c r="G61" s="96" t="s">
        <v>82</v>
      </c>
      <c r="H61" s="213">
        <f>H123</f>
        <v>0</v>
      </c>
      <c r="I61" s="213">
        <f t="shared" ref="I61:S61" si="17">I123</f>
        <v>0</v>
      </c>
      <c r="J61" s="213">
        <f t="shared" si="17"/>
        <v>0</v>
      </c>
      <c r="K61" s="213">
        <f t="shared" si="17"/>
        <v>0</v>
      </c>
      <c r="L61" s="213">
        <f t="shared" si="17"/>
        <v>0</v>
      </c>
      <c r="M61" s="213">
        <f t="shared" si="17"/>
        <v>0</v>
      </c>
      <c r="N61" s="213">
        <f t="shared" si="17"/>
        <v>0</v>
      </c>
      <c r="O61" s="213">
        <f t="shared" si="17"/>
        <v>0</v>
      </c>
      <c r="P61" s="213">
        <f t="shared" si="17"/>
        <v>0</v>
      </c>
      <c r="Q61" s="213">
        <f t="shared" si="17"/>
        <v>0</v>
      </c>
      <c r="R61" s="213">
        <f t="shared" si="17"/>
        <v>0</v>
      </c>
      <c r="S61" s="213">
        <f t="shared" si="17"/>
        <v>0</v>
      </c>
    </row>
    <row r="62" spans="1:20">
      <c r="A62" s="293" t="s">
        <v>82</v>
      </c>
      <c r="B62" s="294">
        <f t="shared" si="16"/>
        <v>1.0000000000000007E-4</v>
      </c>
      <c r="G62" s="206"/>
    </row>
    <row r="63" spans="1:20">
      <c r="I63" s="111"/>
      <c r="J63" s="111"/>
      <c r="K63" s="111"/>
      <c r="L63" s="111"/>
      <c r="M63" s="111"/>
      <c r="N63" s="111"/>
    </row>
    <row r="64" spans="1:20">
      <c r="G64" s="112"/>
      <c r="H64" s="366"/>
      <c r="I64" s="214"/>
      <c r="J64" s="214"/>
      <c r="K64" s="214"/>
      <c r="L64" s="214"/>
      <c r="M64" s="214"/>
      <c r="N64" s="214"/>
      <c r="O64" s="111"/>
    </row>
    <row r="65" spans="1:15">
      <c r="G65" s="112"/>
      <c r="H65" s="366"/>
      <c r="I65" s="214"/>
      <c r="J65" s="214"/>
      <c r="K65" s="214"/>
      <c r="L65" s="214"/>
      <c r="M65" s="214"/>
      <c r="N65" s="214"/>
      <c r="O65" s="111"/>
    </row>
    <row r="66" spans="1:15">
      <c r="G66" s="112"/>
      <c r="H66" s="366"/>
      <c r="I66" s="214"/>
      <c r="J66" s="214"/>
      <c r="K66" s="214"/>
      <c r="L66" s="214"/>
      <c r="M66" s="214"/>
      <c r="N66" s="214"/>
      <c r="O66" s="111"/>
    </row>
    <row r="67" spans="1:15">
      <c r="G67" s="112"/>
      <c r="H67" s="366"/>
      <c r="I67" s="214"/>
      <c r="J67" s="214"/>
      <c r="K67" s="214"/>
      <c r="L67" s="214"/>
      <c r="M67" s="214"/>
      <c r="N67" s="214"/>
      <c r="O67" s="111"/>
    </row>
    <row r="68" spans="1:15">
      <c r="G68" s="112"/>
      <c r="H68" s="366"/>
      <c r="I68" s="214"/>
      <c r="J68" s="214"/>
      <c r="K68" s="214"/>
      <c r="L68" s="214"/>
      <c r="M68" s="214"/>
      <c r="N68" s="214"/>
      <c r="O68" s="111"/>
    </row>
    <row r="69" spans="1:15">
      <c r="G69" s="112"/>
      <c r="H69" s="366"/>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8">H48/ABS(H33+0.000001)</f>
        <v>9.9999998000000053E-5</v>
      </c>
      <c r="I96" s="79">
        <f t="shared" si="18"/>
        <v>9.9999998000000053E-5</v>
      </c>
      <c r="J96" s="79">
        <f t="shared" si="18"/>
        <v>1.0000000200000004E-4</v>
      </c>
      <c r="K96" s="79">
        <f t="shared" si="18"/>
        <v>1.0000000200000004E-4</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96"/>
      <c r="B97" s="201"/>
      <c r="G97" s="141" t="s">
        <v>245</v>
      </c>
      <c r="H97" s="79">
        <f t="shared" ref="H97:S97" si="19">H49/ABS(H32+0.000001)</f>
        <v>5000</v>
      </c>
      <c r="I97" s="79">
        <f t="shared" si="19"/>
        <v>5000</v>
      </c>
      <c r="J97" s="79">
        <f t="shared" si="19"/>
        <v>5000</v>
      </c>
      <c r="K97" s="79">
        <f t="shared" si="19"/>
        <v>5000</v>
      </c>
      <c r="L97" s="79">
        <f t="shared" si="19"/>
        <v>0</v>
      </c>
      <c r="M97" s="79">
        <f t="shared" si="19"/>
        <v>0</v>
      </c>
      <c r="N97" s="79">
        <f t="shared" si="19"/>
        <v>0</v>
      </c>
      <c r="O97" s="79">
        <f t="shared" si="19"/>
        <v>0</v>
      </c>
      <c r="P97" s="79">
        <f t="shared" si="19"/>
        <v>0</v>
      </c>
      <c r="Q97" s="79">
        <f t="shared" si="19"/>
        <v>0</v>
      </c>
      <c r="R97" s="79">
        <f t="shared" si="19"/>
        <v>0</v>
      </c>
      <c r="S97" s="79">
        <f t="shared" si="19"/>
        <v>0</v>
      </c>
    </row>
    <row r="98" spans="1:19">
      <c r="A98" s="96"/>
      <c r="B98" s="201"/>
      <c r="G98" s="79" t="s">
        <v>243</v>
      </c>
      <c r="H98" s="216">
        <f>IF(MIN(H96,H97)&gt;1,0,MIN(H96,H97))</f>
        <v>9.9999998000000053E-5</v>
      </c>
      <c r="I98" s="216">
        <f t="shared" ref="I98:S98" si="20">IF(MIN(I96,I97)&gt;1,0,MIN(I96,I97))</f>
        <v>9.9999998000000053E-5</v>
      </c>
      <c r="J98" s="216">
        <f t="shared" si="20"/>
        <v>1.0000000200000004E-4</v>
      </c>
      <c r="K98" s="216">
        <f t="shared" si="20"/>
        <v>1.0000000200000004E-4</v>
      </c>
      <c r="L98" s="216">
        <f t="shared" si="20"/>
        <v>0</v>
      </c>
      <c r="M98" s="216">
        <f t="shared" si="20"/>
        <v>0</v>
      </c>
      <c r="N98" s="216">
        <f t="shared" si="20"/>
        <v>0</v>
      </c>
      <c r="O98" s="216">
        <f t="shared" si="20"/>
        <v>0</v>
      </c>
      <c r="P98" s="216">
        <f t="shared" si="20"/>
        <v>0</v>
      </c>
      <c r="Q98" s="216">
        <f t="shared" si="20"/>
        <v>0</v>
      </c>
      <c r="R98" s="216">
        <f t="shared" si="20"/>
        <v>0</v>
      </c>
      <c r="S98" s="216">
        <f t="shared" si="20"/>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1">H49/ABS(H31+0.000001)</f>
        <v>9.9999998000000053E-5</v>
      </c>
      <c r="I100" s="146">
        <f t="shared" si="21"/>
        <v>1.0000000200000004E-4</v>
      </c>
      <c r="J100" s="146">
        <f t="shared" si="21"/>
        <v>1.0000000200000004E-4</v>
      </c>
      <c r="K100" s="146">
        <f t="shared" si="21"/>
        <v>9.9999998000000053E-5</v>
      </c>
      <c r="L100" s="146">
        <f t="shared" si="21"/>
        <v>0</v>
      </c>
      <c r="M100" s="146">
        <f t="shared" si="21"/>
        <v>0</v>
      </c>
      <c r="N100" s="146">
        <f t="shared" si="21"/>
        <v>0</v>
      </c>
      <c r="O100" s="146">
        <f t="shared" si="21"/>
        <v>0</v>
      </c>
      <c r="P100" s="146">
        <f t="shared" si="21"/>
        <v>0</v>
      </c>
      <c r="Q100" s="146">
        <f t="shared" si="21"/>
        <v>0</v>
      </c>
      <c r="R100" s="146">
        <f t="shared" si="21"/>
        <v>0</v>
      </c>
      <c r="S100" s="146">
        <f t="shared" si="21"/>
        <v>0</v>
      </c>
    </row>
    <row r="101" spans="1:19">
      <c r="A101" s="96"/>
      <c r="B101" s="201"/>
      <c r="G101" s="108" t="s">
        <v>245</v>
      </c>
      <c r="H101" s="217">
        <f t="shared" ref="H101:S101" si="22">H47/ABS(H33+0.000001)</f>
        <v>9.9999998000000053E-5</v>
      </c>
      <c r="I101" s="217">
        <f t="shared" si="22"/>
        <v>9.9999998000000053E-5</v>
      </c>
      <c r="J101" s="217">
        <f t="shared" si="22"/>
        <v>1.0000000200000004E-4</v>
      </c>
      <c r="K101" s="217">
        <f t="shared" si="22"/>
        <v>1.0000000200000004E-4</v>
      </c>
      <c r="L101" s="217">
        <f t="shared" si="22"/>
        <v>0</v>
      </c>
      <c r="M101" s="217">
        <f t="shared" si="22"/>
        <v>0</v>
      </c>
      <c r="N101" s="217">
        <f t="shared" si="22"/>
        <v>0</v>
      </c>
      <c r="O101" s="217">
        <f t="shared" si="22"/>
        <v>0</v>
      </c>
      <c r="P101" s="217">
        <f t="shared" si="22"/>
        <v>0</v>
      </c>
      <c r="Q101" s="217">
        <f t="shared" si="22"/>
        <v>0</v>
      </c>
      <c r="R101" s="217">
        <f t="shared" si="22"/>
        <v>0</v>
      </c>
      <c r="S101" s="217">
        <f t="shared" si="22"/>
        <v>0</v>
      </c>
    </row>
    <row r="102" spans="1:19">
      <c r="A102" s="96"/>
      <c r="B102" s="201"/>
      <c r="G102" s="79" t="s">
        <v>243</v>
      </c>
      <c r="H102" s="216">
        <f>IF(MIN(H100,H101)&gt;1,0,MIN(H100,H101))</f>
        <v>9.9999998000000053E-5</v>
      </c>
      <c r="I102" s="216">
        <f t="shared" ref="I102:S102" si="23">IF(MIN(I100,I101)&gt;1,0,MIN(I100,I101))</f>
        <v>9.9999998000000053E-5</v>
      </c>
      <c r="J102" s="216">
        <f t="shared" si="23"/>
        <v>1.0000000200000004E-4</v>
      </c>
      <c r="K102" s="216">
        <f t="shared" si="23"/>
        <v>9.9999998000000053E-5</v>
      </c>
      <c r="L102" s="216">
        <f t="shared" si="23"/>
        <v>0</v>
      </c>
      <c r="M102" s="216">
        <f t="shared" si="23"/>
        <v>0</v>
      </c>
      <c r="N102" s="216">
        <f t="shared" si="23"/>
        <v>0</v>
      </c>
      <c r="O102" s="216">
        <f t="shared" si="23"/>
        <v>0</v>
      </c>
      <c r="P102" s="216">
        <f t="shared" si="23"/>
        <v>0</v>
      </c>
      <c r="Q102" s="216">
        <f t="shared" si="23"/>
        <v>0</v>
      </c>
      <c r="R102" s="216">
        <f t="shared" si="23"/>
        <v>0</v>
      </c>
      <c r="S102" s="216">
        <f t="shared" si="23"/>
        <v>0</v>
      </c>
    </row>
    <row r="103" spans="1:19">
      <c r="A103" s="96"/>
      <c r="B103" s="201"/>
      <c r="H103" s="79" t="s">
        <v>249</v>
      </c>
    </row>
    <row r="104" spans="1:19">
      <c r="A104" s="96"/>
      <c r="B104" s="201"/>
      <c r="G104" s="141" t="s">
        <v>245</v>
      </c>
      <c r="H104" s="79">
        <f t="shared" ref="H104:S104" si="24">H48/ABS(H31+0.000001)</f>
        <v>9.9999998000000053E-5</v>
      </c>
      <c r="I104" s="79">
        <f t="shared" si="24"/>
        <v>1.0000000200000004E-4</v>
      </c>
      <c r="J104" s="79">
        <f t="shared" si="24"/>
        <v>1.0000000200000004E-4</v>
      </c>
      <c r="K104" s="79">
        <f t="shared" si="24"/>
        <v>9.9999998000000053E-5</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A105" s="96"/>
      <c r="B105" s="201"/>
      <c r="G105" s="141" t="s">
        <v>245</v>
      </c>
      <c r="H105" s="79">
        <f t="shared" ref="H105:S105" si="25">H47/ABS(H32+0.000001)</f>
        <v>5000</v>
      </c>
      <c r="I105" s="79">
        <f t="shared" si="25"/>
        <v>5000</v>
      </c>
      <c r="J105" s="79">
        <f t="shared" si="25"/>
        <v>5000</v>
      </c>
      <c r="K105" s="79">
        <f t="shared" si="25"/>
        <v>5000</v>
      </c>
      <c r="L105" s="79">
        <f t="shared" si="25"/>
        <v>0</v>
      </c>
      <c r="M105" s="79">
        <f t="shared" si="25"/>
        <v>0</v>
      </c>
      <c r="N105" s="79">
        <f t="shared" si="25"/>
        <v>0</v>
      </c>
      <c r="O105" s="79">
        <f t="shared" si="25"/>
        <v>0</v>
      </c>
      <c r="P105" s="79">
        <f t="shared" si="25"/>
        <v>0</v>
      </c>
      <c r="Q105" s="79">
        <f t="shared" si="25"/>
        <v>0</v>
      </c>
      <c r="R105" s="79">
        <f t="shared" si="25"/>
        <v>0</v>
      </c>
      <c r="S105" s="79">
        <f t="shared" si="25"/>
        <v>0</v>
      </c>
    </row>
    <row r="106" spans="1:19">
      <c r="A106" s="96"/>
      <c r="B106" s="201"/>
      <c r="G106" s="79" t="s">
        <v>243</v>
      </c>
      <c r="H106" s="216">
        <f>IF(MIN(H104,H105)&gt;1,0,MIN(H104,H105))</f>
        <v>9.9999998000000053E-5</v>
      </c>
      <c r="I106" s="216">
        <f t="shared" ref="I106:S106" si="26">IF(MIN(I104,I105)&gt;1,0,MIN(I104,I105))</f>
        <v>1.0000000200000004E-4</v>
      </c>
      <c r="J106" s="216">
        <f t="shared" si="26"/>
        <v>1.0000000200000004E-4</v>
      </c>
      <c r="K106" s="216">
        <f t="shared" si="26"/>
        <v>9.9999998000000053E-5</v>
      </c>
      <c r="L106" s="216">
        <f t="shared" si="26"/>
        <v>0</v>
      </c>
      <c r="M106" s="216">
        <f t="shared" si="26"/>
        <v>0</v>
      </c>
      <c r="N106" s="216">
        <f t="shared" si="26"/>
        <v>0</v>
      </c>
      <c r="O106" s="216">
        <f t="shared" si="26"/>
        <v>0</v>
      </c>
      <c r="P106" s="216">
        <f t="shared" si="26"/>
        <v>0</v>
      </c>
      <c r="Q106" s="216">
        <f t="shared" si="26"/>
        <v>0</v>
      </c>
      <c r="R106" s="216">
        <f t="shared" si="26"/>
        <v>0</v>
      </c>
      <c r="S106" s="216">
        <f t="shared" si="26"/>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7">H56/(H33+0.000001)</f>
        <v>0</v>
      </c>
      <c r="I110" s="216">
        <f t="shared" si="27"/>
        <v>0</v>
      </c>
      <c r="J110" s="216">
        <f t="shared" si="27"/>
        <v>0</v>
      </c>
      <c r="K110" s="216">
        <f t="shared" si="27"/>
        <v>0</v>
      </c>
      <c r="L110" s="216">
        <f t="shared" si="27"/>
        <v>0</v>
      </c>
      <c r="M110" s="216">
        <f t="shared" si="27"/>
        <v>0</v>
      </c>
      <c r="N110" s="216">
        <f t="shared" si="27"/>
        <v>0</v>
      </c>
      <c r="O110" s="216">
        <f t="shared" si="27"/>
        <v>0</v>
      </c>
      <c r="P110" s="216">
        <f t="shared" si="27"/>
        <v>0</v>
      </c>
      <c r="Q110" s="216">
        <f t="shared" si="27"/>
        <v>0</v>
      </c>
      <c r="R110" s="216">
        <f t="shared" si="27"/>
        <v>0</v>
      </c>
      <c r="S110" s="216">
        <f t="shared" si="27"/>
        <v>0</v>
      </c>
    </row>
    <row r="111" spans="1:19">
      <c r="G111" s="141" t="s">
        <v>245</v>
      </c>
      <c r="H111" s="218">
        <f t="shared" ref="H111:S111" si="28">H57/(H32+0.000001)</f>
        <v>0</v>
      </c>
      <c r="I111" s="218">
        <f t="shared" si="28"/>
        <v>0</v>
      </c>
      <c r="J111" s="218">
        <f t="shared" si="28"/>
        <v>0</v>
      </c>
      <c r="K111" s="218">
        <f t="shared" si="28"/>
        <v>0</v>
      </c>
      <c r="L111" s="218">
        <f t="shared" si="28"/>
        <v>0</v>
      </c>
      <c r="M111" s="218">
        <f t="shared" si="28"/>
        <v>0</v>
      </c>
      <c r="N111" s="218">
        <f t="shared" si="28"/>
        <v>0</v>
      </c>
      <c r="O111" s="218">
        <f t="shared" si="28"/>
        <v>0</v>
      </c>
      <c r="P111" s="218">
        <f t="shared" si="28"/>
        <v>0</v>
      </c>
      <c r="Q111" s="218">
        <f t="shared" si="28"/>
        <v>0</v>
      </c>
      <c r="R111" s="218">
        <f t="shared" si="28"/>
        <v>0</v>
      </c>
      <c r="S111" s="218">
        <f t="shared" si="28"/>
        <v>0</v>
      </c>
    </row>
    <row r="112" spans="1:19">
      <c r="G112" s="79" t="s">
        <v>244</v>
      </c>
      <c r="H112" s="136">
        <f>SIGN(H110+0.000000000001)*SIGN(H111+0.000000000001)</f>
        <v>1</v>
      </c>
      <c r="I112" s="136">
        <f t="shared" ref="I112:S112" si="29">SIGN(I110+0.000000000001)*SIGN(I111+0.000000000001)</f>
        <v>1</v>
      </c>
      <c r="J112" s="136">
        <f t="shared" si="29"/>
        <v>1</v>
      </c>
      <c r="K112" s="136">
        <f t="shared" si="29"/>
        <v>1</v>
      </c>
      <c r="L112" s="136">
        <f t="shared" si="29"/>
        <v>1</v>
      </c>
      <c r="M112" s="136">
        <f t="shared" si="29"/>
        <v>1</v>
      </c>
      <c r="N112" s="136">
        <f t="shared" si="29"/>
        <v>1</v>
      </c>
      <c r="O112" s="136">
        <f t="shared" si="29"/>
        <v>1</v>
      </c>
      <c r="P112" s="136">
        <f t="shared" si="29"/>
        <v>1</v>
      </c>
      <c r="Q112" s="136">
        <f t="shared" si="29"/>
        <v>1</v>
      </c>
      <c r="R112" s="136">
        <f t="shared" si="29"/>
        <v>1</v>
      </c>
      <c r="S112" s="136">
        <f t="shared" si="29"/>
        <v>1</v>
      </c>
    </row>
    <row r="113" spans="7:19">
      <c r="G113" s="79" t="s">
        <v>243</v>
      </c>
      <c r="H113" s="216">
        <f>IF(H112*MIN(ABS(H110),ABS(H111))&gt;1,0,H112*MIN(ABS(H110),ABS(H111)))</f>
        <v>0</v>
      </c>
      <c r="I113" s="216">
        <f t="shared" ref="I113:S113" si="30">IF(I112*MIN(ABS(I110),ABS(I111))&gt;1,0,I112*MIN(ABS(I110),ABS(I111)))</f>
        <v>0</v>
      </c>
      <c r="J113" s="216">
        <f t="shared" si="30"/>
        <v>0</v>
      </c>
      <c r="K113" s="216">
        <f t="shared" si="30"/>
        <v>0</v>
      </c>
      <c r="L113" s="216">
        <f t="shared" si="30"/>
        <v>0</v>
      </c>
      <c r="M113" s="216">
        <f t="shared" si="30"/>
        <v>0</v>
      </c>
      <c r="N113" s="216">
        <f t="shared" si="30"/>
        <v>0</v>
      </c>
      <c r="O113" s="216">
        <f t="shared" si="30"/>
        <v>0</v>
      </c>
      <c r="P113" s="216">
        <f t="shared" si="30"/>
        <v>0</v>
      </c>
      <c r="Q113" s="216">
        <f t="shared" si="30"/>
        <v>0</v>
      </c>
      <c r="R113" s="216">
        <f t="shared" si="30"/>
        <v>0</v>
      </c>
      <c r="S113" s="216">
        <f t="shared" si="30"/>
        <v>0</v>
      </c>
    </row>
    <row r="114" spans="7:19">
      <c r="H114" s="96" t="s">
        <v>241</v>
      </c>
      <c r="I114" s="96"/>
      <c r="J114" s="96"/>
      <c r="K114" s="96"/>
      <c r="L114" s="96"/>
      <c r="M114" s="96"/>
      <c r="N114" s="96"/>
      <c r="O114" s="96"/>
      <c r="P114" s="96"/>
      <c r="Q114" s="96"/>
      <c r="R114" s="96"/>
      <c r="S114" s="96"/>
    </row>
    <row r="115" spans="7:19">
      <c r="G115" s="108" t="s">
        <v>245</v>
      </c>
      <c r="H115" s="146">
        <f t="shared" ref="H115:S115" si="31">-H57/(H31+0.000001)</f>
        <v>0</v>
      </c>
      <c r="I115" s="146">
        <f t="shared" si="31"/>
        <v>0</v>
      </c>
      <c r="J115" s="146">
        <f t="shared" si="31"/>
        <v>0</v>
      </c>
      <c r="K115" s="146">
        <f t="shared" si="31"/>
        <v>0</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08" t="s">
        <v>245</v>
      </c>
      <c r="H116" s="146">
        <f t="shared" ref="H116:S116" si="32">H55/(H33+0.000001)</f>
        <v>0</v>
      </c>
      <c r="I116" s="146">
        <f t="shared" si="32"/>
        <v>0</v>
      </c>
      <c r="J116" s="146">
        <f t="shared" si="32"/>
        <v>0</v>
      </c>
      <c r="K116" s="146">
        <f t="shared" si="32"/>
        <v>0</v>
      </c>
      <c r="L116" s="146">
        <f t="shared" si="32"/>
        <v>0</v>
      </c>
      <c r="M116" s="146">
        <f t="shared" si="32"/>
        <v>0</v>
      </c>
      <c r="N116" s="146">
        <f t="shared" si="32"/>
        <v>0</v>
      </c>
      <c r="O116" s="146">
        <f t="shared" si="32"/>
        <v>0</v>
      </c>
      <c r="P116" s="146">
        <f t="shared" si="32"/>
        <v>0</v>
      </c>
      <c r="Q116" s="146">
        <f t="shared" si="32"/>
        <v>0</v>
      </c>
      <c r="R116" s="146">
        <f t="shared" si="32"/>
        <v>0</v>
      </c>
      <c r="S116" s="146">
        <f t="shared" si="32"/>
        <v>0</v>
      </c>
    </row>
    <row r="117" spans="7:19">
      <c r="G117" s="146" t="s">
        <v>244</v>
      </c>
      <c r="H117" s="219">
        <f>SIGN(H115+0.000000000001)*SIGN(H116+0.000000000001)</f>
        <v>1</v>
      </c>
      <c r="I117" s="219">
        <f t="shared" ref="I117:S117" si="33">SIGN(I115+0.000000000001)*SIGN(I116+0.000000000001)</f>
        <v>1</v>
      </c>
      <c r="J117" s="219">
        <f t="shared" si="33"/>
        <v>1</v>
      </c>
      <c r="K117" s="219">
        <f t="shared" si="33"/>
        <v>1</v>
      </c>
      <c r="L117" s="219">
        <f t="shared" si="33"/>
        <v>1</v>
      </c>
      <c r="M117" s="219">
        <f t="shared" si="33"/>
        <v>1</v>
      </c>
      <c r="N117" s="219">
        <f t="shared" si="33"/>
        <v>1</v>
      </c>
      <c r="O117" s="219">
        <f t="shared" si="33"/>
        <v>1</v>
      </c>
      <c r="P117" s="219">
        <f t="shared" si="33"/>
        <v>1</v>
      </c>
      <c r="Q117" s="219">
        <f t="shared" si="33"/>
        <v>1</v>
      </c>
      <c r="R117" s="219">
        <f t="shared" si="33"/>
        <v>1</v>
      </c>
      <c r="S117" s="219">
        <f t="shared" si="33"/>
        <v>1</v>
      </c>
    </row>
    <row r="118" spans="7:19">
      <c r="G118" s="146" t="s">
        <v>243</v>
      </c>
      <c r="H118" s="220">
        <f>IF(H117*MIN(ABS(H115),ABS(H116))&gt;1,0,H117*MIN(ABS(H115),ABS(H116)))</f>
        <v>0</v>
      </c>
      <c r="I118" s="220">
        <f t="shared" ref="I118:S118" si="34">IF(I117*MIN(ABS(I115),ABS(I116))&gt;1,0,I117*MIN(ABS(I115),ABS(I116)))</f>
        <v>0</v>
      </c>
      <c r="J118" s="220">
        <f t="shared" si="34"/>
        <v>0</v>
      </c>
      <c r="K118" s="220">
        <f t="shared" si="34"/>
        <v>0</v>
      </c>
      <c r="L118" s="220">
        <f t="shared" si="34"/>
        <v>0</v>
      </c>
      <c r="M118" s="220">
        <f t="shared" si="34"/>
        <v>0</v>
      </c>
      <c r="N118" s="220">
        <f t="shared" si="34"/>
        <v>0</v>
      </c>
      <c r="O118" s="220">
        <f t="shared" si="34"/>
        <v>0</v>
      </c>
      <c r="P118" s="220">
        <f t="shared" si="34"/>
        <v>0</v>
      </c>
      <c r="Q118" s="220">
        <f t="shared" si="34"/>
        <v>0</v>
      </c>
      <c r="R118" s="220">
        <f t="shared" si="34"/>
        <v>0</v>
      </c>
      <c r="S118" s="220">
        <f t="shared" si="34"/>
        <v>0</v>
      </c>
    </row>
    <row r="119" spans="7:19">
      <c r="H119" s="96" t="s">
        <v>242</v>
      </c>
      <c r="I119" s="96"/>
      <c r="J119" s="96"/>
      <c r="K119" s="96"/>
      <c r="L119" s="96"/>
      <c r="M119" s="96"/>
      <c r="N119" s="96"/>
      <c r="O119" s="96"/>
      <c r="P119" s="96"/>
      <c r="Q119" s="96"/>
      <c r="R119" s="96"/>
      <c r="S119" s="96"/>
    </row>
    <row r="120" spans="7:19">
      <c r="G120" s="141" t="s">
        <v>245</v>
      </c>
      <c r="H120" s="216">
        <f t="shared" ref="H120:S120" si="35">H56/(H31+0.000001)</f>
        <v>0</v>
      </c>
      <c r="I120" s="216">
        <f t="shared" si="35"/>
        <v>0</v>
      </c>
      <c r="J120" s="216">
        <f t="shared" si="35"/>
        <v>0</v>
      </c>
      <c r="K120" s="216">
        <f t="shared" si="35"/>
        <v>0</v>
      </c>
      <c r="L120" s="216">
        <f t="shared" si="35"/>
        <v>0</v>
      </c>
      <c r="M120" s="216">
        <f t="shared" si="35"/>
        <v>0</v>
      </c>
      <c r="N120" s="216">
        <f t="shared" si="35"/>
        <v>0</v>
      </c>
      <c r="O120" s="216">
        <f t="shared" si="35"/>
        <v>0</v>
      </c>
      <c r="P120" s="216">
        <f t="shared" si="35"/>
        <v>0</v>
      </c>
      <c r="Q120" s="216">
        <f t="shared" si="35"/>
        <v>0</v>
      </c>
      <c r="R120" s="216">
        <f t="shared" si="35"/>
        <v>0</v>
      </c>
      <c r="S120" s="216">
        <f t="shared" si="35"/>
        <v>0</v>
      </c>
    </row>
    <row r="121" spans="7:19">
      <c r="G121" s="141" t="s">
        <v>245</v>
      </c>
      <c r="H121" s="79">
        <f t="shared" ref="H121:S121" si="36">H55/(H32+0.000001)</f>
        <v>0</v>
      </c>
      <c r="I121" s="79">
        <f t="shared" si="36"/>
        <v>0</v>
      </c>
      <c r="J121" s="79">
        <f t="shared" si="36"/>
        <v>0</v>
      </c>
      <c r="K121" s="79">
        <f t="shared" si="36"/>
        <v>0</v>
      </c>
      <c r="L121" s="79">
        <f t="shared" si="36"/>
        <v>0</v>
      </c>
      <c r="M121" s="79">
        <f t="shared" si="36"/>
        <v>0</v>
      </c>
      <c r="N121" s="79">
        <f t="shared" si="36"/>
        <v>0</v>
      </c>
      <c r="O121" s="79">
        <f t="shared" si="36"/>
        <v>0</v>
      </c>
      <c r="P121" s="79">
        <f t="shared" si="36"/>
        <v>0</v>
      </c>
      <c r="Q121" s="79">
        <f t="shared" si="36"/>
        <v>0</v>
      </c>
      <c r="R121" s="79">
        <f t="shared" si="36"/>
        <v>0</v>
      </c>
      <c r="S121" s="79">
        <f t="shared" si="36"/>
        <v>0</v>
      </c>
    </row>
    <row r="122" spans="7:19">
      <c r="G122" s="79" t="s">
        <v>244</v>
      </c>
      <c r="H122" s="136">
        <f>SIGN(H120+0.000000000001)*SIGN(H121+0.000000000001)</f>
        <v>1</v>
      </c>
      <c r="I122" s="136">
        <f t="shared" ref="I122:S122" si="37">SIGN(I120+0.000000000001)*SIGN(I121+0.000000000001)</f>
        <v>1</v>
      </c>
      <c r="J122" s="136">
        <f t="shared" si="37"/>
        <v>1</v>
      </c>
      <c r="K122" s="136">
        <f t="shared" si="37"/>
        <v>1</v>
      </c>
      <c r="L122" s="136">
        <f t="shared" si="37"/>
        <v>1</v>
      </c>
      <c r="M122" s="136">
        <f t="shared" si="37"/>
        <v>1</v>
      </c>
      <c r="N122" s="136">
        <f t="shared" si="37"/>
        <v>1</v>
      </c>
      <c r="O122" s="136">
        <f t="shared" si="37"/>
        <v>1</v>
      </c>
      <c r="P122" s="136">
        <f t="shared" si="37"/>
        <v>1</v>
      </c>
      <c r="Q122" s="136">
        <f t="shared" si="37"/>
        <v>1</v>
      </c>
      <c r="R122" s="136">
        <f t="shared" si="37"/>
        <v>1</v>
      </c>
      <c r="S122" s="136">
        <f t="shared" si="37"/>
        <v>1</v>
      </c>
    </row>
    <row r="123" spans="7:19">
      <c r="G123" s="79" t="s">
        <v>243</v>
      </c>
      <c r="H123" s="216">
        <f>IF(H122*MIN(ABS(H120),ABS(H121))&gt;1,0,H122*MIN(ABS(H120),ABS(H121)))</f>
        <v>0</v>
      </c>
      <c r="I123" s="216">
        <f t="shared" ref="I123:S123" si="38">IF(I122*MIN(ABS(I120),ABS(I121))&gt;1,0,I122*MIN(ABS(I120),ABS(I121)))</f>
        <v>0</v>
      </c>
      <c r="J123" s="216">
        <f t="shared" si="38"/>
        <v>0</v>
      </c>
      <c r="K123" s="216">
        <f t="shared" si="38"/>
        <v>0</v>
      </c>
      <c r="L123" s="216">
        <f t="shared" si="38"/>
        <v>0</v>
      </c>
      <c r="M123" s="216">
        <f t="shared" si="38"/>
        <v>0</v>
      </c>
      <c r="N123" s="216">
        <f t="shared" si="38"/>
        <v>0</v>
      </c>
      <c r="O123" s="216">
        <f t="shared" si="38"/>
        <v>0</v>
      </c>
      <c r="P123" s="216">
        <f t="shared" si="38"/>
        <v>0</v>
      </c>
      <c r="Q123" s="216">
        <f t="shared" si="38"/>
        <v>0</v>
      </c>
      <c r="R123" s="216">
        <f t="shared" si="38"/>
        <v>0</v>
      </c>
      <c r="S123" s="216">
        <f t="shared" si="38"/>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6"/>
  <sheetViews>
    <sheetView topLeftCell="A21" zoomScale="75" zoomScaleNormal="75" zoomScalePageLayoutView="75" workbookViewId="0">
      <selection activeCell="H47" sqref="H47:K49"/>
    </sheetView>
  </sheetViews>
  <sheetFormatPr baseColWidth="10" defaultColWidth="11" defaultRowHeight="16"/>
  <cols>
    <col min="1" max="1" width="45.33203125" style="79" customWidth="1"/>
    <col min="2" max="2" width="17.83203125" style="79" customWidth="1"/>
    <col min="3" max="3" width="32.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Loads'!A276</f>
        <v>CS 9</v>
      </c>
      <c r="B1" s="197" t="str">
        <f>'CSs and Loads'!A286</f>
        <v>Not Used</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200"/>
      <c r="C4" s="80" t="s">
        <v>355</v>
      </c>
      <c r="D4" s="161"/>
      <c r="E4" s="400" t="s">
        <v>357</v>
      </c>
      <c r="F4" s="401"/>
      <c r="G4" s="401"/>
      <c r="H4" s="401"/>
      <c r="I4" s="401"/>
      <c r="J4" s="401"/>
      <c r="K4" s="401"/>
      <c r="L4" s="401"/>
      <c r="M4" s="402"/>
      <c r="N4" s="175"/>
      <c r="O4" s="201"/>
      <c r="P4" s="201"/>
      <c r="Q4" s="201"/>
      <c r="R4" s="201"/>
    </row>
    <row r="5" spans="1:18">
      <c r="A5" s="200"/>
      <c r="C5" s="96" t="s">
        <v>353</v>
      </c>
      <c r="D5" s="161">
        <v>25</v>
      </c>
      <c r="E5" s="176" t="s">
        <v>268</v>
      </c>
      <c r="F5" s="366" t="s">
        <v>271</v>
      </c>
      <c r="G5" s="139">
        <v>0</v>
      </c>
      <c r="H5" s="139">
        <v>0</v>
      </c>
      <c r="I5" s="139">
        <v>0</v>
      </c>
      <c r="J5" s="139">
        <v>0</v>
      </c>
      <c r="K5" s="139">
        <v>0</v>
      </c>
      <c r="L5" s="139">
        <v>0</v>
      </c>
      <c r="M5" s="177" t="s">
        <v>262</v>
      </c>
      <c r="N5" s="175"/>
      <c r="O5" s="201"/>
      <c r="P5" s="201"/>
      <c r="Q5" s="201"/>
      <c r="R5" s="201"/>
    </row>
    <row r="6" spans="1:18">
      <c r="A6" s="200"/>
      <c r="C6" s="96" t="s">
        <v>32</v>
      </c>
      <c r="D6" s="161">
        <f>1770*9.8</f>
        <v>17346</v>
      </c>
      <c r="E6" s="176" t="s">
        <v>269</v>
      </c>
      <c r="F6" s="366"/>
      <c r="G6" s="139">
        <v>0</v>
      </c>
      <c r="H6" s="139">
        <v>0</v>
      </c>
      <c r="I6" s="139">
        <v>0</v>
      </c>
      <c r="J6" s="139">
        <v>0</v>
      </c>
      <c r="K6" s="139">
        <v>0</v>
      </c>
      <c r="L6" s="139">
        <v>0</v>
      </c>
      <c r="M6" s="177" t="s">
        <v>263</v>
      </c>
      <c r="N6" s="175"/>
      <c r="O6" s="201"/>
      <c r="P6" s="201"/>
      <c r="Q6" s="201"/>
      <c r="R6" s="201"/>
    </row>
    <row r="7" spans="1:18">
      <c r="A7" s="200"/>
      <c r="C7" s="96" t="s">
        <v>230</v>
      </c>
      <c r="D7" s="161">
        <f>647*1000</f>
        <v>647000</v>
      </c>
      <c r="E7" s="176" t="s">
        <v>270</v>
      </c>
      <c r="F7" s="366"/>
      <c r="G7" s="139">
        <v>0</v>
      </c>
      <c r="H7" s="139">
        <v>0</v>
      </c>
      <c r="I7" s="139">
        <v>0</v>
      </c>
      <c r="J7" s="139">
        <v>0</v>
      </c>
      <c r="K7" s="139">
        <v>0</v>
      </c>
      <c r="L7" s="139">
        <v>0</v>
      </c>
      <c r="M7" s="177" t="s">
        <v>264</v>
      </c>
      <c r="N7" s="175"/>
      <c r="O7" s="201"/>
      <c r="P7" s="201"/>
      <c r="Q7" s="201"/>
      <c r="R7" s="201"/>
    </row>
    <row r="8" spans="1:18">
      <c r="A8" s="200"/>
      <c r="C8" s="96" t="s">
        <v>33</v>
      </c>
      <c r="D8" s="161">
        <v>3</v>
      </c>
      <c r="E8" s="176" t="s">
        <v>259</v>
      </c>
      <c r="F8" s="366"/>
      <c r="G8" s="139">
        <v>0</v>
      </c>
      <c r="H8" s="139">
        <v>0</v>
      </c>
      <c r="I8" s="139">
        <v>0</v>
      </c>
      <c r="J8" s="139">
        <v>0</v>
      </c>
      <c r="K8" s="139">
        <v>0</v>
      </c>
      <c r="L8" s="139">
        <v>0</v>
      </c>
      <c r="M8" s="177" t="s">
        <v>265</v>
      </c>
      <c r="N8" s="175"/>
      <c r="O8" s="201"/>
      <c r="P8" s="201"/>
      <c r="Q8" s="201"/>
      <c r="R8" s="201"/>
    </row>
    <row r="9" spans="1:18">
      <c r="A9" s="200"/>
      <c r="C9" s="96" t="s">
        <v>34</v>
      </c>
      <c r="D9" s="161">
        <v>0.01</v>
      </c>
      <c r="E9" s="176" t="s">
        <v>261</v>
      </c>
      <c r="F9" s="366"/>
      <c r="G9" s="139">
        <v>0</v>
      </c>
      <c r="H9" s="139">
        <v>0</v>
      </c>
      <c r="I9" s="139">
        <v>0</v>
      </c>
      <c r="J9" s="139">
        <v>0</v>
      </c>
      <c r="K9" s="139">
        <v>0</v>
      </c>
      <c r="L9" s="139">
        <v>0</v>
      </c>
      <c r="M9" s="177" t="s">
        <v>266</v>
      </c>
      <c r="N9" s="175"/>
      <c r="O9" s="201"/>
      <c r="P9" s="201"/>
      <c r="Q9" s="201"/>
      <c r="R9" s="201"/>
    </row>
    <row r="10" spans="1:18" ht="17" thickBot="1">
      <c r="A10" s="200"/>
      <c r="C10" s="96" t="s">
        <v>274</v>
      </c>
      <c r="D10" s="229">
        <f>D6/(D8*D9)</f>
        <v>578200</v>
      </c>
      <c r="E10" s="178" t="s">
        <v>260</v>
      </c>
      <c r="F10" s="399"/>
      <c r="G10" s="181">
        <v>0</v>
      </c>
      <c r="H10" s="181">
        <v>0</v>
      </c>
      <c r="I10" s="181">
        <v>0</v>
      </c>
      <c r="J10" s="181">
        <v>0</v>
      </c>
      <c r="K10" s="181">
        <v>0</v>
      </c>
      <c r="L10" s="181">
        <v>0</v>
      </c>
      <c r="M10" s="180" t="s">
        <v>267</v>
      </c>
      <c r="N10" s="175"/>
      <c r="O10" s="201"/>
      <c r="P10" s="201"/>
      <c r="Q10" s="201"/>
      <c r="R10" s="201"/>
    </row>
    <row r="11" spans="1:18">
      <c r="A11" s="200"/>
      <c r="C11" s="96" t="s">
        <v>35</v>
      </c>
      <c r="D11" s="80">
        <v>25</v>
      </c>
      <c r="E11" s="155"/>
      <c r="F11" s="155"/>
      <c r="G11" s="155"/>
      <c r="H11" s="155"/>
      <c r="I11" s="155"/>
      <c r="J11" s="155"/>
      <c r="K11" s="155"/>
      <c r="L11" s="155"/>
      <c r="M11" s="155"/>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30"/>
      <c r="B21" s="168"/>
      <c r="C21" s="231" t="s">
        <v>304</v>
      </c>
      <c r="D21" s="221">
        <v>3</v>
      </c>
      <c r="E21" s="168"/>
      <c r="F21" s="168"/>
      <c r="G21" s="168"/>
      <c r="H21" s="168"/>
      <c r="I21" s="168"/>
      <c r="J21" s="168"/>
      <c r="K21" s="168"/>
      <c r="L21" s="168"/>
      <c r="M21" s="168"/>
      <c r="O21" s="201"/>
      <c r="P21" s="201"/>
      <c r="Q21" s="201"/>
      <c r="R21" s="201"/>
    </row>
    <row r="22" spans="1:19" ht="17" thickBot="1">
      <c r="A22" s="403" t="s">
        <v>359</v>
      </c>
      <c r="B22" s="404"/>
      <c r="C22" s="404"/>
      <c r="D22" s="404"/>
      <c r="E22" s="404"/>
      <c r="F22" s="404"/>
      <c r="G22" s="404"/>
      <c r="H22" s="404"/>
      <c r="I22" s="404"/>
      <c r="J22" s="404"/>
      <c r="K22" s="404"/>
      <c r="L22" s="404"/>
      <c r="M22" s="405"/>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5.0000000000000001E-3</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5.0000000000000001E-3</v>
      </c>
      <c r="C46" s="85"/>
      <c r="D46" s="210"/>
      <c r="E46" s="210"/>
      <c r="F46" s="210"/>
      <c r="G46" s="80" t="s">
        <v>293</v>
      </c>
    </row>
    <row r="47" spans="1:19">
      <c r="A47" s="96" t="s">
        <v>117</v>
      </c>
      <c r="B47" s="99">
        <f t="shared" si="8"/>
        <v>5.0000000000000001E-3</v>
      </c>
      <c r="C47" s="85"/>
      <c r="D47" s="192"/>
      <c r="E47" s="192"/>
      <c r="F47" s="192"/>
      <c r="G47" s="96" t="s">
        <v>115</v>
      </c>
      <c r="H47" s="205">
        <f t="shared" ref="H47:K49" si="9">IF(REBS="YES", REB, 0.005)</f>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1.0000000000000007E-4</v>
      </c>
      <c r="C48" s="85"/>
      <c r="D48" s="210"/>
      <c r="E48" s="210"/>
      <c r="F48" s="210"/>
      <c r="G48" s="96" t="s">
        <v>116</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0">
      <c r="A49" s="96" t="s">
        <v>81</v>
      </c>
      <c r="B49" s="99">
        <f>SQRT((H52^2+I52^2+J52^2+K52^2+L52^2+M52^2+N52^2+O52^2+P52^2+Q52^2+R52^2+S52^2+B38^2)/H$28)</f>
        <v>9.9999999000000077E-5</v>
      </c>
      <c r="C49" s="85"/>
      <c r="D49" s="210"/>
      <c r="E49" s="210"/>
      <c r="F49" s="210"/>
      <c r="G49" s="96" t="s">
        <v>117</v>
      </c>
      <c r="H49" s="205">
        <f t="shared" si="9"/>
        <v>5.0000000000000001E-3</v>
      </c>
      <c r="I49" s="205">
        <f t="shared" si="9"/>
        <v>5.0000000000000001E-3</v>
      </c>
      <c r="J49" s="205">
        <f t="shared" si="9"/>
        <v>5.0000000000000001E-3</v>
      </c>
      <c r="K49" s="205">
        <f t="shared" si="9"/>
        <v>5.0000000000000001E-3</v>
      </c>
      <c r="L49" s="205">
        <v>0</v>
      </c>
      <c r="M49" s="205">
        <v>0</v>
      </c>
      <c r="N49" s="205">
        <v>0</v>
      </c>
      <c r="O49" s="205">
        <v>0</v>
      </c>
      <c r="P49" s="205">
        <v>0</v>
      </c>
      <c r="Q49" s="205">
        <v>0</v>
      </c>
      <c r="R49" s="205">
        <v>0</v>
      </c>
      <c r="S49" s="205">
        <v>0</v>
      </c>
    </row>
    <row r="50" spans="1:20">
      <c r="A50" s="96" t="s">
        <v>82</v>
      </c>
      <c r="B50" s="99">
        <f>SQRT((H53^2+I53^2+J53^2+K53^2+L53^2+M53^2+N53^2+O53^2+P53^2+Q53^2+R53^2+S53^2+B39^2)/H$28)</f>
        <v>1.0000000000000007E-4</v>
      </c>
      <c r="C50" s="85"/>
      <c r="D50" s="210"/>
      <c r="E50" s="210"/>
      <c r="F50" s="210"/>
      <c r="G50" s="80" t="s">
        <v>238</v>
      </c>
    </row>
    <row r="51" spans="1:20" ht="51">
      <c r="A51" s="207" t="s">
        <v>195</v>
      </c>
      <c r="B51" s="101"/>
      <c r="D51" s="211"/>
      <c r="E51" s="211"/>
      <c r="F51" s="211"/>
      <c r="G51" s="96" t="s">
        <v>80</v>
      </c>
      <c r="H51" s="144">
        <f>H98</f>
        <v>9.9999998000000053E-5</v>
      </c>
      <c r="I51" s="144">
        <f t="shared" ref="I51:S51" si="10">I98</f>
        <v>9.9999998000000053E-5</v>
      </c>
      <c r="J51" s="144">
        <f t="shared" si="10"/>
        <v>1.0000000200000004E-4</v>
      </c>
      <c r="K51" s="144">
        <f t="shared" si="10"/>
        <v>1.0000000200000004E-4</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0">
      <c r="A52" s="96" t="s">
        <v>115</v>
      </c>
      <c r="B52" s="99">
        <f>SQRT((H55^2+I55^2+J55^2+K55^2+L55^2+M55^2+N55^2+O55^2+P55^2+Q55^2+R55^2+S55^2)/H$28)</f>
        <v>0</v>
      </c>
      <c r="C52" s="85"/>
      <c r="D52" s="211"/>
      <c r="E52" s="211"/>
      <c r="F52" s="211"/>
      <c r="G52" s="96" t="s">
        <v>81</v>
      </c>
      <c r="H52" s="144">
        <f>H102</f>
        <v>9.9999998000000053E-5</v>
      </c>
      <c r="I52" s="144">
        <f t="shared" ref="I52:S52" si="11">I102</f>
        <v>9.9999998000000053E-5</v>
      </c>
      <c r="J52" s="144">
        <f t="shared" si="11"/>
        <v>1.0000000200000004E-4</v>
      </c>
      <c r="K52" s="144">
        <f t="shared" si="11"/>
        <v>9.9999998000000053E-5</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0">
      <c r="A53" s="96" t="s">
        <v>116</v>
      </c>
      <c r="B53" s="99">
        <f t="shared" ref="B53:B54" si="12">SQRT((H56^2+I56^2+J56^2+K56^2+L56^2+M56^2+N56^2+O56^2+P56^2+Q56^2+R56^2+S56^2)/H$28)</f>
        <v>0</v>
      </c>
      <c r="C53" s="85"/>
      <c r="D53" s="211"/>
      <c r="E53" s="211"/>
      <c r="F53" s="211"/>
      <c r="G53" s="96" t="s">
        <v>82</v>
      </c>
      <c r="H53" s="144">
        <f>H106</f>
        <v>9.9999998000000053E-5</v>
      </c>
      <c r="I53" s="144">
        <f t="shared" ref="I53:S53" si="13">I106</f>
        <v>1.0000000200000004E-4</v>
      </c>
      <c r="J53" s="144">
        <f t="shared" si="13"/>
        <v>1.0000000200000004E-4</v>
      </c>
      <c r="K53" s="144">
        <f t="shared" si="13"/>
        <v>9.9999998000000053E-5</v>
      </c>
      <c r="L53" s="144">
        <f t="shared" si="13"/>
        <v>0</v>
      </c>
      <c r="M53" s="144">
        <f t="shared" si="13"/>
        <v>0</v>
      </c>
      <c r="N53" s="144">
        <f t="shared" si="13"/>
        <v>0</v>
      </c>
      <c r="O53" s="144">
        <f t="shared" si="13"/>
        <v>0</v>
      </c>
      <c r="P53" s="144">
        <f t="shared" si="13"/>
        <v>0</v>
      </c>
      <c r="Q53" s="144">
        <f t="shared" si="13"/>
        <v>0</v>
      </c>
      <c r="R53" s="144">
        <f t="shared" si="13"/>
        <v>0</v>
      </c>
      <c r="S53" s="144">
        <f t="shared" si="13"/>
        <v>0</v>
      </c>
    </row>
    <row r="54" spans="1:20">
      <c r="A54" s="96" t="s">
        <v>117</v>
      </c>
      <c r="B54" s="99">
        <f t="shared" si="12"/>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387</v>
      </c>
      <c r="B59" s="292"/>
      <c r="G59" s="96" t="s">
        <v>80</v>
      </c>
      <c r="H59" s="213">
        <f>H113</f>
        <v>0</v>
      </c>
      <c r="I59" s="213">
        <f t="shared" ref="I59:S59" si="14">I113</f>
        <v>0</v>
      </c>
      <c r="J59" s="213">
        <f t="shared" si="14"/>
        <v>0</v>
      </c>
      <c r="K59" s="213">
        <f t="shared" si="14"/>
        <v>0</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0">
      <c r="A60" s="293" t="s">
        <v>80</v>
      </c>
      <c r="B60" s="294">
        <f>IF(MAX(ABS(B48),ABS(B55))=0, 0.001, MAX(ABS(B48),ABS(B55)))</f>
        <v>1.0000000000000007E-4</v>
      </c>
      <c r="G60" s="96" t="s">
        <v>81</v>
      </c>
      <c r="H60" s="213">
        <f>H118</f>
        <v>0</v>
      </c>
      <c r="I60" s="213">
        <f t="shared" ref="I60:S60" si="15">I118</f>
        <v>0</v>
      </c>
      <c r="J60" s="213">
        <f t="shared" si="15"/>
        <v>0</v>
      </c>
      <c r="K60" s="213">
        <f t="shared" si="15"/>
        <v>0</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0">
      <c r="A61" s="293" t="s">
        <v>81</v>
      </c>
      <c r="B61" s="294">
        <f t="shared" ref="B61:B62" si="16">IF(MAX(ABS(B49),ABS(B56))=0, 0.001, MAX(ABS(B49),ABS(B56)))</f>
        <v>9.9999999000000077E-5</v>
      </c>
      <c r="G61" s="96" t="s">
        <v>82</v>
      </c>
      <c r="H61" s="213">
        <f>H123</f>
        <v>0</v>
      </c>
      <c r="I61" s="213">
        <f t="shared" ref="I61:S61" si="17">I123</f>
        <v>0</v>
      </c>
      <c r="J61" s="213">
        <f t="shared" si="17"/>
        <v>0</v>
      </c>
      <c r="K61" s="213">
        <f t="shared" si="17"/>
        <v>0</v>
      </c>
      <c r="L61" s="213">
        <f t="shared" si="17"/>
        <v>0</v>
      </c>
      <c r="M61" s="213">
        <f t="shared" si="17"/>
        <v>0</v>
      </c>
      <c r="N61" s="213">
        <f t="shared" si="17"/>
        <v>0</v>
      </c>
      <c r="O61" s="213">
        <f t="shared" si="17"/>
        <v>0</v>
      </c>
      <c r="P61" s="213">
        <f t="shared" si="17"/>
        <v>0</v>
      </c>
      <c r="Q61" s="213">
        <f t="shared" si="17"/>
        <v>0</v>
      </c>
      <c r="R61" s="213">
        <f t="shared" si="17"/>
        <v>0</v>
      </c>
      <c r="S61" s="213">
        <f t="shared" si="17"/>
        <v>0</v>
      </c>
    </row>
    <row r="62" spans="1:20">
      <c r="A62" s="293" t="s">
        <v>82</v>
      </c>
      <c r="B62" s="294">
        <f t="shared" si="16"/>
        <v>1.0000000000000007E-4</v>
      </c>
      <c r="G62" s="206"/>
    </row>
    <row r="63" spans="1:20">
      <c r="I63" s="111"/>
      <c r="J63" s="111"/>
      <c r="K63" s="111"/>
      <c r="L63" s="111"/>
      <c r="M63" s="111"/>
      <c r="N63" s="111"/>
    </row>
    <row r="64" spans="1:20">
      <c r="G64" s="112"/>
      <c r="H64" s="366"/>
      <c r="I64" s="214"/>
      <c r="J64" s="214"/>
      <c r="K64" s="214"/>
      <c r="L64" s="214"/>
      <c r="M64" s="214"/>
      <c r="N64" s="214"/>
      <c r="O64" s="111"/>
    </row>
    <row r="65" spans="1:15">
      <c r="G65" s="112"/>
      <c r="H65" s="366"/>
      <c r="I65" s="214"/>
      <c r="J65" s="214"/>
      <c r="K65" s="214"/>
      <c r="L65" s="214"/>
      <c r="M65" s="214"/>
      <c r="N65" s="214"/>
      <c r="O65" s="111"/>
    </row>
    <row r="66" spans="1:15">
      <c r="G66" s="112"/>
      <c r="H66" s="366"/>
      <c r="I66" s="214"/>
      <c r="J66" s="214"/>
      <c r="K66" s="214"/>
      <c r="L66" s="214"/>
      <c r="M66" s="214"/>
      <c r="N66" s="214"/>
      <c r="O66" s="111"/>
    </row>
    <row r="67" spans="1:15">
      <c r="G67" s="112"/>
      <c r="H67" s="366"/>
      <c r="I67" s="214"/>
      <c r="J67" s="214"/>
      <c r="K67" s="214"/>
      <c r="L67" s="214"/>
      <c r="M67" s="214"/>
      <c r="N67" s="214"/>
      <c r="O67" s="111"/>
    </row>
    <row r="68" spans="1:15">
      <c r="G68" s="112"/>
      <c r="H68" s="366"/>
      <c r="I68" s="214"/>
      <c r="J68" s="214"/>
      <c r="K68" s="214"/>
      <c r="L68" s="214"/>
      <c r="M68" s="214"/>
      <c r="N68" s="214"/>
      <c r="O68" s="111"/>
    </row>
    <row r="69" spans="1:15">
      <c r="G69" s="112"/>
      <c r="H69" s="366"/>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8">H48/ABS(H33+0.000001)</f>
        <v>9.9999998000000053E-5</v>
      </c>
      <c r="I96" s="79">
        <f t="shared" si="18"/>
        <v>9.9999998000000053E-5</v>
      </c>
      <c r="J96" s="79">
        <f t="shared" si="18"/>
        <v>1.0000000200000004E-4</v>
      </c>
      <c r="K96" s="79">
        <f t="shared" si="18"/>
        <v>1.0000000200000004E-4</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96"/>
      <c r="B97" s="201"/>
      <c r="G97" s="141" t="s">
        <v>245</v>
      </c>
      <c r="H97" s="79">
        <f t="shared" ref="H97:S97" si="19">H49/ABS(H32+0.000001)</f>
        <v>5000</v>
      </c>
      <c r="I97" s="79">
        <f t="shared" si="19"/>
        <v>5000</v>
      </c>
      <c r="J97" s="79">
        <f t="shared" si="19"/>
        <v>5000</v>
      </c>
      <c r="K97" s="79">
        <f t="shared" si="19"/>
        <v>5000</v>
      </c>
      <c r="L97" s="79">
        <f t="shared" si="19"/>
        <v>0</v>
      </c>
      <c r="M97" s="79">
        <f t="shared" si="19"/>
        <v>0</v>
      </c>
      <c r="N97" s="79">
        <f t="shared" si="19"/>
        <v>0</v>
      </c>
      <c r="O97" s="79">
        <f t="shared" si="19"/>
        <v>0</v>
      </c>
      <c r="P97" s="79">
        <f t="shared" si="19"/>
        <v>0</v>
      </c>
      <c r="Q97" s="79">
        <f t="shared" si="19"/>
        <v>0</v>
      </c>
      <c r="R97" s="79">
        <f t="shared" si="19"/>
        <v>0</v>
      </c>
      <c r="S97" s="79">
        <f t="shared" si="19"/>
        <v>0</v>
      </c>
    </row>
    <row r="98" spans="1:19">
      <c r="A98" s="96"/>
      <c r="B98" s="201"/>
      <c r="G98" s="79" t="s">
        <v>243</v>
      </c>
      <c r="H98" s="216">
        <f>IF(MIN(H96,H97)&gt;1,0,MIN(H96,H97))</f>
        <v>9.9999998000000053E-5</v>
      </c>
      <c r="I98" s="216">
        <f t="shared" ref="I98:S98" si="20">IF(MIN(I96,I97)&gt;1,0,MIN(I96,I97))</f>
        <v>9.9999998000000053E-5</v>
      </c>
      <c r="J98" s="216">
        <f t="shared" si="20"/>
        <v>1.0000000200000004E-4</v>
      </c>
      <c r="K98" s="216">
        <f t="shared" si="20"/>
        <v>1.0000000200000004E-4</v>
      </c>
      <c r="L98" s="216">
        <f t="shared" si="20"/>
        <v>0</v>
      </c>
      <c r="M98" s="216">
        <f t="shared" si="20"/>
        <v>0</v>
      </c>
      <c r="N98" s="216">
        <f t="shared" si="20"/>
        <v>0</v>
      </c>
      <c r="O98" s="216">
        <f t="shared" si="20"/>
        <v>0</v>
      </c>
      <c r="P98" s="216">
        <f t="shared" si="20"/>
        <v>0</v>
      </c>
      <c r="Q98" s="216">
        <f t="shared" si="20"/>
        <v>0</v>
      </c>
      <c r="R98" s="216">
        <f t="shared" si="20"/>
        <v>0</v>
      </c>
      <c r="S98" s="216">
        <f t="shared" si="20"/>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1">H49/ABS(H31+0.000001)</f>
        <v>9.9999998000000053E-5</v>
      </c>
      <c r="I100" s="146">
        <f t="shared" si="21"/>
        <v>1.0000000200000004E-4</v>
      </c>
      <c r="J100" s="146">
        <f t="shared" si="21"/>
        <v>1.0000000200000004E-4</v>
      </c>
      <c r="K100" s="146">
        <f t="shared" si="21"/>
        <v>9.9999998000000053E-5</v>
      </c>
      <c r="L100" s="146">
        <f t="shared" si="21"/>
        <v>0</v>
      </c>
      <c r="M100" s="146">
        <f t="shared" si="21"/>
        <v>0</v>
      </c>
      <c r="N100" s="146">
        <f t="shared" si="21"/>
        <v>0</v>
      </c>
      <c r="O100" s="146">
        <f t="shared" si="21"/>
        <v>0</v>
      </c>
      <c r="P100" s="146">
        <f t="shared" si="21"/>
        <v>0</v>
      </c>
      <c r="Q100" s="146">
        <f t="shared" si="21"/>
        <v>0</v>
      </c>
      <c r="R100" s="146">
        <f t="shared" si="21"/>
        <v>0</v>
      </c>
      <c r="S100" s="146">
        <f t="shared" si="21"/>
        <v>0</v>
      </c>
    </row>
    <row r="101" spans="1:19">
      <c r="A101" s="96"/>
      <c r="B101" s="201"/>
      <c r="G101" s="108" t="s">
        <v>245</v>
      </c>
      <c r="H101" s="217">
        <f t="shared" ref="H101:S101" si="22">H47/ABS(H33+0.000001)</f>
        <v>9.9999998000000053E-5</v>
      </c>
      <c r="I101" s="217">
        <f t="shared" si="22"/>
        <v>9.9999998000000053E-5</v>
      </c>
      <c r="J101" s="217">
        <f t="shared" si="22"/>
        <v>1.0000000200000004E-4</v>
      </c>
      <c r="K101" s="217">
        <f t="shared" si="22"/>
        <v>1.0000000200000004E-4</v>
      </c>
      <c r="L101" s="217">
        <f t="shared" si="22"/>
        <v>0</v>
      </c>
      <c r="M101" s="217">
        <f t="shared" si="22"/>
        <v>0</v>
      </c>
      <c r="N101" s="217">
        <f t="shared" si="22"/>
        <v>0</v>
      </c>
      <c r="O101" s="217">
        <f t="shared" si="22"/>
        <v>0</v>
      </c>
      <c r="P101" s="217">
        <f t="shared" si="22"/>
        <v>0</v>
      </c>
      <c r="Q101" s="217">
        <f t="shared" si="22"/>
        <v>0</v>
      </c>
      <c r="R101" s="217">
        <f t="shared" si="22"/>
        <v>0</v>
      </c>
      <c r="S101" s="217">
        <f t="shared" si="22"/>
        <v>0</v>
      </c>
    </row>
    <row r="102" spans="1:19">
      <c r="A102" s="96"/>
      <c r="B102" s="201"/>
      <c r="G102" s="79" t="s">
        <v>243</v>
      </c>
      <c r="H102" s="216">
        <f>IF(MIN(H100,H101)&gt;1,0,MIN(H100,H101))</f>
        <v>9.9999998000000053E-5</v>
      </c>
      <c r="I102" s="216">
        <f t="shared" ref="I102:S102" si="23">IF(MIN(I100,I101)&gt;1,0,MIN(I100,I101))</f>
        <v>9.9999998000000053E-5</v>
      </c>
      <c r="J102" s="216">
        <f t="shared" si="23"/>
        <v>1.0000000200000004E-4</v>
      </c>
      <c r="K102" s="216">
        <f t="shared" si="23"/>
        <v>9.9999998000000053E-5</v>
      </c>
      <c r="L102" s="216">
        <f t="shared" si="23"/>
        <v>0</v>
      </c>
      <c r="M102" s="216">
        <f t="shared" si="23"/>
        <v>0</v>
      </c>
      <c r="N102" s="216">
        <f t="shared" si="23"/>
        <v>0</v>
      </c>
      <c r="O102" s="216">
        <f t="shared" si="23"/>
        <v>0</v>
      </c>
      <c r="P102" s="216">
        <f t="shared" si="23"/>
        <v>0</v>
      </c>
      <c r="Q102" s="216">
        <f t="shared" si="23"/>
        <v>0</v>
      </c>
      <c r="R102" s="216">
        <f t="shared" si="23"/>
        <v>0</v>
      </c>
      <c r="S102" s="216">
        <f t="shared" si="23"/>
        <v>0</v>
      </c>
    </row>
    <row r="103" spans="1:19">
      <c r="A103" s="96"/>
      <c r="B103" s="201"/>
      <c r="H103" s="79" t="s">
        <v>249</v>
      </c>
    </row>
    <row r="104" spans="1:19">
      <c r="A104" s="96"/>
      <c r="B104" s="201"/>
      <c r="G104" s="141" t="s">
        <v>245</v>
      </c>
      <c r="H104" s="79">
        <f t="shared" ref="H104:S104" si="24">H48/ABS(H31+0.000001)</f>
        <v>9.9999998000000053E-5</v>
      </c>
      <c r="I104" s="79">
        <f t="shared" si="24"/>
        <v>1.0000000200000004E-4</v>
      </c>
      <c r="J104" s="79">
        <f t="shared" si="24"/>
        <v>1.0000000200000004E-4</v>
      </c>
      <c r="K104" s="79">
        <f t="shared" si="24"/>
        <v>9.9999998000000053E-5</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A105" s="96"/>
      <c r="B105" s="201"/>
      <c r="G105" s="141" t="s">
        <v>245</v>
      </c>
      <c r="H105" s="79">
        <f t="shared" ref="H105:S105" si="25">H47/ABS(H32+0.000001)</f>
        <v>5000</v>
      </c>
      <c r="I105" s="79">
        <f t="shared" si="25"/>
        <v>5000</v>
      </c>
      <c r="J105" s="79">
        <f t="shared" si="25"/>
        <v>5000</v>
      </c>
      <c r="K105" s="79">
        <f t="shared" si="25"/>
        <v>5000</v>
      </c>
      <c r="L105" s="79">
        <f t="shared" si="25"/>
        <v>0</v>
      </c>
      <c r="M105" s="79">
        <f t="shared" si="25"/>
        <v>0</v>
      </c>
      <c r="N105" s="79">
        <f t="shared" si="25"/>
        <v>0</v>
      </c>
      <c r="O105" s="79">
        <f t="shared" si="25"/>
        <v>0</v>
      </c>
      <c r="P105" s="79">
        <f t="shared" si="25"/>
        <v>0</v>
      </c>
      <c r="Q105" s="79">
        <f t="shared" si="25"/>
        <v>0</v>
      </c>
      <c r="R105" s="79">
        <f t="shared" si="25"/>
        <v>0</v>
      </c>
      <c r="S105" s="79">
        <f t="shared" si="25"/>
        <v>0</v>
      </c>
    </row>
    <row r="106" spans="1:19">
      <c r="A106" s="96"/>
      <c r="B106" s="201"/>
      <c r="G106" s="79" t="s">
        <v>243</v>
      </c>
      <c r="H106" s="216">
        <f>IF(MIN(H104,H105)&gt;1,0,MIN(H104,H105))</f>
        <v>9.9999998000000053E-5</v>
      </c>
      <c r="I106" s="216">
        <f t="shared" ref="I106:S106" si="26">IF(MIN(I104,I105)&gt;1,0,MIN(I104,I105))</f>
        <v>1.0000000200000004E-4</v>
      </c>
      <c r="J106" s="216">
        <f t="shared" si="26"/>
        <v>1.0000000200000004E-4</v>
      </c>
      <c r="K106" s="216">
        <f t="shared" si="26"/>
        <v>9.9999998000000053E-5</v>
      </c>
      <c r="L106" s="216">
        <f t="shared" si="26"/>
        <v>0</v>
      </c>
      <c r="M106" s="216">
        <f t="shared" si="26"/>
        <v>0</v>
      </c>
      <c r="N106" s="216">
        <f t="shared" si="26"/>
        <v>0</v>
      </c>
      <c r="O106" s="216">
        <f t="shared" si="26"/>
        <v>0</v>
      </c>
      <c r="P106" s="216">
        <f t="shared" si="26"/>
        <v>0</v>
      </c>
      <c r="Q106" s="216">
        <f t="shared" si="26"/>
        <v>0</v>
      </c>
      <c r="R106" s="216">
        <f t="shared" si="26"/>
        <v>0</v>
      </c>
      <c r="S106" s="216">
        <f t="shared" si="26"/>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7">H56/(H33+0.000001)</f>
        <v>0</v>
      </c>
      <c r="I110" s="216">
        <f t="shared" si="27"/>
        <v>0</v>
      </c>
      <c r="J110" s="216">
        <f t="shared" si="27"/>
        <v>0</v>
      </c>
      <c r="K110" s="216">
        <f t="shared" si="27"/>
        <v>0</v>
      </c>
      <c r="L110" s="216">
        <f t="shared" si="27"/>
        <v>0</v>
      </c>
      <c r="M110" s="216">
        <f t="shared" si="27"/>
        <v>0</v>
      </c>
      <c r="N110" s="216">
        <f t="shared" si="27"/>
        <v>0</v>
      </c>
      <c r="O110" s="216">
        <f t="shared" si="27"/>
        <v>0</v>
      </c>
      <c r="P110" s="216">
        <f t="shared" si="27"/>
        <v>0</v>
      </c>
      <c r="Q110" s="216">
        <f t="shared" si="27"/>
        <v>0</v>
      </c>
      <c r="R110" s="216">
        <f t="shared" si="27"/>
        <v>0</v>
      </c>
      <c r="S110" s="216">
        <f t="shared" si="27"/>
        <v>0</v>
      </c>
    </row>
    <row r="111" spans="1:19">
      <c r="G111" s="141" t="s">
        <v>245</v>
      </c>
      <c r="H111" s="218">
        <f t="shared" ref="H111:S111" si="28">H57/(H32+0.000001)</f>
        <v>0</v>
      </c>
      <c r="I111" s="218">
        <f t="shared" si="28"/>
        <v>0</v>
      </c>
      <c r="J111" s="218">
        <f t="shared" si="28"/>
        <v>0</v>
      </c>
      <c r="K111" s="218">
        <f t="shared" si="28"/>
        <v>0</v>
      </c>
      <c r="L111" s="218">
        <f t="shared" si="28"/>
        <v>0</v>
      </c>
      <c r="M111" s="218">
        <f t="shared" si="28"/>
        <v>0</v>
      </c>
      <c r="N111" s="218">
        <f t="shared" si="28"/>
        <v>0</v>
      </c>
      <c r="O111" s="218">
        <f t="shared" si="28"/>
        <v>0</v>
      </c>
      <c r="P111" s="218">
        <f t="shared" si="28"/>
        <v>0</v>
      </c>
      <c r="Q111" s="218">
        <f t="shared" si="28"/>
        <v>0</v>
      </c>
      <c r="R111" s="218">
        <f t="shared" si="28"/>
        <v>0</v>
      </c>
      <c r="S111" s="218">
        <f t="shared" si="28"/>
        <v>0</v>
      </c>
    </row>
    <row r="112" spans="1:19">
      <c r="G112" s="79" t="s">
        <v>244</v>
      </c>
      <c r="H112" s="136">
        <f>SIGN(H110+0.000000000001)*SIGN(H111+0.000000000001)</f>
        <v>1</v>
      </c>
      <c r="I112" s="136">
        <f t="shared" ref="I112:S112" si="29">SIGN(I110+0.000000000001)*SIGN(I111+0.000000000001)</f>
        <v>1</v>
      </c>
      <c r="J112" s="136">
        <f t="shared" si="29"/>
        <v>1</v>
      </c>
      <c r="K112" s="136">
        <f t="shared" si="29"/>
        <v>1</v>
      </c>
      <c r="L112" s="136">
        <f t="shared" si="29"/>
        <v>1</v>
      </c>
      <c r="M112" s="136">
        <f t="shared" si="29"/>
        <v>1</v>
      </c>
      <c r="N112" s="136">
        <f t="shared" si="29"/>
        <v>1</v>
      </c>
      <c r="O112" s="136">
        <f t="shared" si="29"/>
        <v>1</v>
      </c>
      <c r="P112" s="136">
        <f t="shared" si="29"/>
        <v>1</v>
      </c>
      <c r="Q112" s="136">
        <f t="shared" si="29"/>
        <v>1</v>
      </c>
      <c r="R112" s="136">
        <f t="shared" si="29"/>
        <v>1</v>
      </c>
      <c r="S112" s="136">
        <f t="shared" si="29"/>
        <v>1</v>
      </c>
    </row>
    <row r="113" spans="7:19">
      <c r="G113" s="79" t="s">
        <v>243</v>
      </c>
      <c r="H113" s="216">
        <f>IF(H112*MIN(ABS(H110),ABS(H111))&gt;1,0,H112*MIN(ABS(H110),ABS(H111)))</f>
        <v>0</v>
      </c>
      <c r="I113" s="216">
        <f t="shared" ref="I113:S113" si="30">IF(I112*MIN(ABS(I110),ABS(I111))&gt;1,0,I112*MIN(ABS(I110),ABS(I111)))</f>
        <v>0</v>
      </c>
      <c r="J113" s="216">
        <f t="shared" si="30"/>
        <v>0</v>
      </c>
      <c r="K113" s="216">
        <f t="shared" si="30"/>
        <v>0</v>
      </c>
      <c r="L113" s="216">
        <f t="shared" si="30"/>
        <v>0</v>
      </c>
      <c r="M113" s="216">
        <f t="shared" si="30"/>
        <v>0</v>
      </c>
      <c r="N113" s="216">
        <f t="shared" si="30"/>
        <v>0</v>
      </c>
      <c r="O113" s="216">
        <f t="shared" si="30"/>
        <v>0</v>
      </c>
      <c r="P113" s="216">
        <f t="shared" si="30"/>
        <v>0</v>
      </c>
      <c r="Q113" s="216">
        <f t="shared" si="30"/>
        <v>0</v>
      </c>
      <c r="R113" s="216">
        <f t="shared" si="30"/>
        <v>0</v>
      </c>
      <c r="S113" s="216">
        <f t="shared" si="30"/>
        <v>0</v>
      </c>
    </row>
    <row r="114" spans="7:19">
      <c r="H114" s="96" t="s">
        <v>241</v>
      </c>
      <c r="I114" s="96"/>
      <c r="J114" s="96"/>
      <c r="K114" s="96"/>
      <c r="L114" s="96"/>
      <c r="M114" s="96"/>
      <c r="N114" s="96"/>
      <c r="O114" s="96"/>
      <c r="P114" s="96"/>
      <c r="Q114" s="96"/>
      <c r="R114" s="96"/>
      <c r="S114" s="96"/>
    </row>
    <row r="115" spans="7:19">
      <c r="G115" s="108" t="s">
        <v>245</v>
      </c>
      <c r="H115" s="146">
        <f t="shared" ref="H115:S115" si="31">-H57/(H31+0.000001)</f>
        <v>0</v>
      </c>
      <c r="I115" s="146">
        <f t="shared" si="31"/>
        <v>0</v>
      </c>
      <c r="J115" s="146">
        <f t="shared" si="31"/>
        <v>0</v>
      </c>
      <c r="K115" s="146">
        <f t="shared" si="31"/>
        <v>0</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08" t="s">
        <v>245</v>
      </c>
      <c r="H116" s="146">
        <f t="shared" ref="H116:S116" si="32">H55/(H33+0.000001)</f>
        <v>0</v>
      </c>
      <c r="I116" s="146">
        <f t="shared" si="32"/>
        <v>0</v>
      </c>
      <c r="J116" s="146">
        <f t="shared" si="32"/>
        <v>0</v>
      </c>
      <c r="K116" s="146">
        <f t="shared" si="32"/>
        <v>0</v>
      </c>
      <c r="L116" s="146">
        <f t="shared" si="32"/>
        <v>0</v>
      </c>
      <c r="M116" s="146">
        <f t="shared" si="32"/>
        <v>0</v>
      </c>
      <c r="N116" s="146">
        <f t="shared" si="32"/>
        <v>0</v>
      </c>
      <c r="O116" s="146">
        <f t="shared" si="32"/>
        <v>0</v>
      </c>
      <c r="P116" s="146">
        <f t="shared" si="32"/>
        <v>0</v>
      </c>
      <c r="Q116" s="146">
        <f t="shared" si="32"/>
        <v>0</v>
      </c>
      <c r="R116" s="146">
        <f t="shared" si="32"/>
        <v>0</v>
      </c>
      <c r="S116" s="146">
        <f t="shared" si="32"/>
        <v>0</v>
      </c>
    </row>
    <row r="117" spans="7:19">
      <c r="G117" s="146" t="s">
        <v>244</v>
      </c>
      <c r="H117" s="219">
        <f>SIGN(H115+0.000000000001)*SIGN(H116+0.000000000001)</f>
        <v>1</v>
      </c>
      <c r="I117" s="219">
        <f t="shared" ref="I117:S117" si="33">SIGN(I115+0.000000000001)*SIGN(I116+0.000000000001)</f>
        <v>1</v>
      </c>
      <c r="J117" s="219">
        <f t="shared" si="33"/>
        <v>1</v>
      </c>
      <c r="K117" s="219">
        <f t="shared" si="33"/>
        <v>1</v>
      </c>
      <c r="L117" s="219">
        <f t="shared" si="33"/>
        <v>1</v>
      </c>
      <c r="M117" s="219">
        <f t="shared" si="33"/>
        <v>1</v>
      </c>
      <c r="N117" s="219">
        <f t="shared" si="33"/>
        <v>1</v>
      </c>
      <c r="O117" s="219">
        <f t="shared" si="33"/>
        <v>1</v>
      </c>
      <c r="P117" s="219">
        <f t="shared" si="33"/>
        <v>1</v>
      </c>
      <c r="Q117" s="219">
        <f t="shared" si="33"/>
        <v>1</v>
      </c>
      <c r="R117" s="219">
        <f t="shared" si="33"/>
        <v>1</v>
      </c>
      <c r="S117" s="219">
        <f t="shared" si="33"/>
        <v>1</v>
      </c>
    </row>
    <row r="118" spans="7:19">
      <c r="G118" s="146" t="s">
        <v>243</v>
      </c>
      <c r="H118" s="220">
        <f>IF(H117*MIN(ABS(H115),ABS(H116))&gt;1,0,H117*MIN(ABS(H115),ABS(H116)))</f>
        <v>0</v>
      </c>
      <c r="I118" s="220">
        <f t="shared" ref="I118:S118" si="34">IF(I117*MIN(ABS(I115),ABS(I116))&gt;1,0,I117*MIN(ABS(I115),ABS(I116)))</f>
        <v>0</v>
      </c>
      <c r="J118" s="220">
        <f t="shared" si="34"/>
        <v>0</v>
      </c>
      <c r="K118" s="220">
        <f t="shared" si="34"/>
        <v>0</v>
      </c>
      <c r="L118" s="220">
        <f t="shared" si="34"/>
        <v>0</v>
      </c>
      <c r="M118" s="220">
        <f t="shared" si="34"/>
        <v>0</v>
      </c>
      <c r="N118" s="220">
        <f t="shared" si="34"/>
        <v>0</v>
      </c>
      <c r="O118" s="220">
        <f t="shared" si="34"/>
        <v>0</v>
      </c>
      <c r="P118" s="220">
        <f t="shared" si="34"/>
        <v>0</v>
      </c>
      <c r="Q118" s="220">
        <f t="shared" si="34"/>
        <v>0</v>
      </c>
      <c r="R118" s="220">
        <f t="shared" si="34"/>
        <v>0</v>
      </c>
      <c r="S118" s="220">
        <f t="shared" si="34"/>
        <v>0</v>
      </c>
    </row>
    <row r="119" spans="7:19">
      <c r="H119" s="96" t="s">
        <v>242</v>
      </c>
      <c r="I119" s="96"/>
      <c r="J119" s="96"/>
      <c r="K119" s="96"/>
      <c r="L119" s="96"/>
      <c r="M119" s="96"/>
      <c r="N119" s="96"/>
      <c r="O119" s="96"/>
      <c r="P119" s="96"/>
      <c r="Q119" s="96"/>
      <c r="R119" s="96"/>
      <c r="S119" s="96"/>
    </row>
    <row r="120" spans="7:19">
      <c r="G120" s="141" t="s">
        <v>245</v>
      </c>
      <c r="H120" s="216">
        <f t="shared" ref="H120:S120" si="35">H56/(H31+0.000001)</f>
        <v>0</v>
      </c>
      <c r="I120" s="216">
        <f t="shared" si="35"/>
        <v>0</v>
      </c>
      <c r="J120" s="216">
        <f t="shared" si="35"/>
        <v>0</v>
      </c>
      <c r="K120" s="216">
        <f t="shared" si="35"/>
        <v>0</v>
      </c>
      <c r="L120" s="216">
        <f t="shared" si="35"/>
        <v>0</v>
      </c>
      <c r="M120" s="216">
        <f t="shared" si="35"/>
        <v>0</v>
      </c>
      <c r="N120" s="216">
        <f t="shared" si="35"/>
        <v>0</v>
      </c>
      <c r="O120" s="216">
        <f t="shared" si="35"/>
        <v>0</v>
      </c>
      <c r="P120" s="216">
        <f t="shared" si="35"/>
        <v>0</v>
      </c>
      <c r="Q120" s="216">
        <f t="shared" si="35"/>
        <v>0</v>
      </c>
      <c r="R120" s="216">
        <f t="shared" si="35"/>
        <v>0</v>
      </c>
      <c r="S120" s="216">
        <f t="shared" si="35"/>
        <v>0</v>
      </c>
    </row>
    <row r="121" spans="7:19">
      <c r="G121" s="141" t="s">
        <v>245</v>
      </c>
      <c r="H121" s="79">
        <f t="shared" ref="H121:S121" si="36">H55/(H32+0.000001)</f>
        <v>0</v>
      </c>
      <c r="I121" s="79">
        <f t="shared" si="36"/>
        <v>0</v>
      </c>
      <c r="J121" s="79">
        <f t="shared" si="36"/>
        <v>0</v>
      </c>
      <c r="K121" s="79">
        <f t="shared" si="36"/>
        <v>0</v>
      </c>
      <c r="L121" s="79">
        <f t="shared" si="36"/>
        <v>0</v>
      </c>
      <c r="M121" s="79">
        <f t="shared" si="36"/>
        <v>0</v>
      </c>
      <c r="N121" s="79">
        <f t="shared" si="36"/>
        <v>0</v>
      </c>
      <c r="O121" s="79">
        <f t="shared" si="36"/>
        <v>0</v>
      </c>
      <c r="P121" s="79">
        <f t="shared" si="36"/>
        <v>0</v>
      </c>
      <c r="Q121" s="79">
        <f t="shared" si="36"/>
        <v>0</v>
      </c>
      <c r="R121" s="79">
        <f t="shared" si="36"/>
        <v>0</v>
      </c>
      <c r="S121" s="79">
        <f t="shared" si="36"/>
        <v>0</v>
      </c>
    </row>
    <row r="122" spans="7:19">
      <c r="G122" s="79" t="s">
        <v>244</v>
      </c>
      <c r="H122" s="136">
        <f>SIGN(H120+0.000000000001)*SIGN(H121+0.000000000001)</f>
        <v>1</v>
      </c>
      <c r="I122" s="136">
        <f t="shared" ref="I122:S122" si="37">SIGN(I120+0.000000000001)*SIGN(I121+0.000000000001)</f>
        <v>1</v>
      </c>
      <c r="J122" s="136">
        <f t="shared" si="37"/>
        <v>1</v>
      </c>
      <c r="K122" s="136">
        <f t="shared" si="37"/>
        <v>1</v>
      </c>
      <c r="L122" s="136">
        <f t="shared" si="37"/>
        <v>1</v>
      </c>
      <c r="M122" s="136">
        <f t="shared" si="37"/>
        <v>1</v>
      </c>
      <c r="N122" s="136">
        <f t="shared" si="37"/>
        <v>1</v>
      </c>
      <c r="O122" s="136">
        <f t="shared" si="37"/>
        <v>1</v>
      </c>
      <c r="P122" s="136">
        <f t="shared" si="37"/>
        <v>1</v>
      </c>
      <c r="Q122" s="136">
        <f t="shared" si="37"/>
        <v>1</v>
      </c>
      <c r="R122" s="136">
        <f t="shared" si="37"/>
        <v>1</v>
      </c>
      <c r="S122" s="136">
        <f t="shared" si="37"/>
        <v>1</v>
      </c>
    </row>
    <row r="123" spans="7:19">
      <c r="G123" s="79" t="s">
        <v>243</v>
      </c>
      <c r="H123" s="216">
        <f>IF(H122*MIN(ABS(H120),ABS(H121))&gt;1,0,H122*MIN(ABS(H120),ABS(H121)))</f>
        <v>0</v>
      </c>
      <c r="I123" s="216">
        <f t="shared" ref="I123:S123" si="38">IF(I122*MIN(ABS(I120),ABS(I121))&gt;1,0,I122*MIN(ABS(I120),ABS(I121)))</f>
        <v>0</v>
      </c>
      <c r="J123" s="216">
        <f t="shared" si="38"/>
        <v>0</v>
      </c>
      <c r="K123" s="216">
        <f t="shared" si="38"/>
        <v>0</v>
      </c>
      <c r="L123" s="216">
        <f t="shared" si="38"/>
        <v>0</v>
      </c>
      <c r="M123" s="216">
        <f t="shared" si="38"/>
        <v>0</v>
      </c>
      <c r="N123" s="216">
        <f t="shared" si="38"/>
        <v>0</v>
      </c>
      <c r="O123" s="216">
        <f t="shared" si="38"/>
        <v>0</v>
      </c>
      <c r="P123" s="216">
        <f t="shared" si="38"/>
        <v>0</v>
      </c>
      <c r="Q123" s="216">
        <f t="shared" si="38"/>
        <v>0</v>
      </c>
      <c r="R123" s="216">
        <f t="shared" si="38"/>
        <v>0</v>
      </c>
      <c r="S123" s="216">
        <f t="shared" si="38"/>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26"/>
  <sheetViews>
    <sheetView topLeftCell="A21" zoomScale="75" zoomScaleNormal="75" zoomScalePageLayoutView="75" workbookViewId="0">
      <selection activeCell="H47" sqref="H47:K49"/>
    </sheetView>
  </sheetViews>
  <sheetFormatPr baseColWidth="10" defaultColWidth="11" defaultRowHeight="16"/>
  <cols>
    <col min="1" max="1" width="45.33203125" style="79" customWidth="1"/>
    <col min="2" max="2" width="21.5" style="79" customWidth="1"/>
    <col min="3" max="3" width="40.16406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Loads'!A309</f>
        <v>CS 10</v>
      </c>
      <c r="B1" s="197" t="str">
        <f>'CSs and Loads'!A319</f>
        <v>Not Used</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200"/>
      <c r="C4" s="80" t="s">
        <v>355</v>
      </c>
      <c r="D4" s="161"/>
      <c r="E4" s="400" t="s">
        <v>357</v>
      </c>
      <c r="F4" s="401"/>
      <c r="G4" s="401"/>
      <c r="H4" s="401"/>
      <c r="I4" s="401"/>
      <c r="J4" s="401"/>
      <c r="K4" s="401"/>
      <c r="L4" s="401"/>
      <c r="M4" s="402"/>
      <c r="N4" s="175"/>
      <c r="O4" s="201"/>
      <c r="P4" s="201"/>
      <c r="Q4" s="201"/>
      <c r="R4" s="201"/>
    </row>
    <row r="5" spans="1:18">
      <c r="A5" s="200"/>
      <c r="C5" s="96" t="s">
        <v>353</v>
      </c>
      <c r="D5" s="161">
        <v>25</v>
      </c>
      <c r="E5" s="176" t="s">
        <v>268</v>
      </c>
      <c r="F5" s="366" t="s">
        <v>271</v>
      </c>
      <c r="G5" s="139">
        <v>0</v>
      </c>
      <c r="H5" s="139">
        <v>0</v>
      </c>
      <c r="I5" s="139">
        <v>0</v>
      </c>
      <c r="J5" s="139">
        <v>0</v>
      </c>
      <c r="K5" s="139">
        <v>0</v>
      </c>
      <c r="L5" s="139">
        <v>0</v>
      </c>
      <c r="M5" s="177" t="s">
        <v>262</v>
      </c>
      <c r="N5" s="175"/>
      <c r="O5" s="201"/>
      <c r="P5" s="201"/>
      <c r="Q5" s="201"/>
      <c r="R5" s="201"/>
    </row>
    <row r="6" spans="1:18">
      <c r="A6" s="200"/>
      <c r="C6" s="96" t="s">
        <v>32</v>
      </c>
      <c r="D6" s="161">
        <f>1770*9.8</f>
        <v>17346</v>
      </c>
      <c r="E6" s="176" t="s">
        <v>269</v>
      </c>
      <c r="F6" s="366"/>
      <c r="G6" s="139">
        <v>0</v>
      </c>
      <c r="H6" s="139">
        <v>0</v>
      </c>
      <c r="I6" s="139">
        <v>0</v>
      </c>
      <c r="J6" s="139">
        <v>0</v>
      </c>
      <c r="K6" s="139">
        <v>0</v>
      </c>
      <c r="L6" s="139">
        <v>0</v>
      </c>
      <c r="M6" s="177" t="s">
        <v>263</v>
      </c>
      <c r="N6" s="175"/>
      <c r="O6" s="201"/>
      <c r="P6" s="201"/>
      <c r="Q6" s="201"/>
      <c r="R6" s="201"/>
    </row>
    <row r="7" spans="1:18">
      <c r="A7" s="200"/>
      <c r="C7" s="96" t="s">
        <v>230</v>
      </c>
      <c r="D7" s="161">
        <f>647*1000</f>
        <v>647000</v>
      </c>
      <c r="E7" s="176" t="s">
        <v>270</v>
      </c>
      <c r="F7" s="366"/>
      <c r="G7" s="139">
        <v>0</v>
      </c>
      <c r="H7" s="139">
        <v>0</v>
      </c>
      <c r="I7" s="139">
        <v>0</v>
      </c>
      <c r="J7" s="139">
        <v>0</v>
      </c>
      <c r="K7" s="139">
        <v>0</v>
      </c>
      <c r="L7" s="139">
        <v>0</v>
      </c>
      <c r="M7" s="177" t="s">
        <v>264</v>
      </c>
      <c r="N7" s="175"/>
      <c r="O7" s="201"/>
      <c r="P7" s="201"/>
      <c r="Q7" s="201"/>
      <c r="R7" s="201"/>
    </row>
    <row r="8" spans="1:18">
      <c r="A8" s="200"/>
      <c r="C8" s="96" t="s">
        <v>33</v>
      </c>
      <c r="D8" s="161">
        <v>3</v>
      </c>
      <c r="E8" s="176" t="s">
        <v>259</v>
      </c>
      <c r="F8" s="366"/>
      <c r="G8" s="139">
        <v>0</v>
      </c>
      <c r="H8" s="139">
        <v>0</v>
      </c>
      <c r="I8" s="139">
        <v>0</v>
      </c>
      <c r="J8" s="139">
        <v>0</v>
      </c>
      <c r="K8" s="139">
        <v>0</v>
      </c>
      <c r="L8" s="139">
        <v>0</v>
      </c>
      <c r="M8" s="177" t="s">
        <v>265</v>
      </c>
      <c r="N8" s="175"/>
      <c r="O8" s="201"/>
      <c r="P8" s="201"/>
      <c r="Q8" s="201"/>
      <c r="R8" s="201"/>
    </row>
    <row r="9" spans="1:18">
      <c r="A9" s="200"/>
      <c r="C9" s="96" t="s">
        <v>34</v>
      </c>
      <c r="D9" s="161">
        <v>0.01</v>
      </c>
      <c r="E9" s="176" t="s">
        <v>261</v>
      </c>
      <c r="F9" s="366"/>
      <c r="G9" s="139">
        <v>0</v>
      </c>
      <c r="H9" s="139">
        <v>0</v>
      </c>
      <c r="I9" s="139">
        <v>0</v>
      </c>
      <c r="J9" s="139">
        <v>0</v>
      </c>
      <c r="K9" s="139">
        <v>0</v>
      </c>
      <c r="L9" s="139">
        <v>0</v>
      </c>
      <c r="M9" s="177" t="s">
        <v>266</v>
      </c>
      <c r="N9" s="175"/>
      <c r="O9" s="201"/>
      <c r="P9" s="201"/>
      <c r="Q9" s="201"/>
      <c r="R9" s="201"/>
    </row>
    <row r="10" spans="1:18" ht="17" thickBot="1">
      <c r="A10" s="200"/>
      <c r="C10" s="96" t="s">
        <v>274</v>
      </c>
      <c r="D10" s="229">
        <f>D6/(D8*D9)</f>
        <v>578200</v>
      </c>
      <c r="E10" s="178" t="s">
        <v>260</v>
      </c>
      <c r="F10" s="399"/>
      <c r="G10" s="181">
        <v>0</v>
      </c>
      <c r="H10" s="181">
        <v>0</v>
      </c>
      <c r="I10" s="181">
        <v>0</v>
      </c>
      <c r="J10" s="181">
        <v>0</v>
      </c>
      <c r="K10" s="181">
        <v>0</v>
      </c>
      <c r="L10" s="181">
        <v>0</v>
      </c>
      <c r="M10" s="180" t="s">
        <v>267</v>
      </c>
      <c r="N10" s="175"/>
      <c r="O10" s="201"/>
      <c r="P10" s="201"/>
      <c r="Q10" s="201"/>
      <c r="R10" s="201"/>
    </row>
    <row r="11" spans="1:18">
      <c r="A11" s="200"/>
      <c r="C11" s="96" t="s">
        <v>35</v>
      </c>
      <c r="D11" s="80">
        <v>25</v>
      </c>
      <c r="E11" s="155"/>
      <c r="F11" s="155"/>
      <c r="G11" s="155"/>
      <c r="H11" s="155"/>
      <c r="I11" s="155"/>
      <c r="J11" s="155"/>
      <c r="K11" s="155"/>
      <c r="L11" s="155"/>
      <c r="M11" s="155"/>
      <c r="O11" s="201"/>
      <c r="P11" s="201"/>
      <c r="Q11" s="201"/>
      <c r="R11" s="201"/>
    </row>
    <row r="12" spans="1:18">
      <c r="A12" s="200"/>
      <c r="C12" s="96" t="s">
        <v>365</v>
      </c>
      <c r="D12" s="95">
        <f>D7*D11^2/4</f>
        <v>101093750</v>
      </c>
      <c r="O12" s="201"/>
      <c r="P12" s="201"/>
      <c r="Q12" s="201"/>
      <c r="R12" s="201"/>
    </row>
    <row r="13" spans="1:18">
      <c r="A13" s="200"/>
      <c r="C13" s="96" t="s">
        <v>275</v>
      </c>
      <c r="D13" s="95">
        <f>D7*D11^2/12</f>
        <v>33697916.666666664</v>
      </c>
      <c r="O13" s="201"/>
      <c r="P13" s="201"/>
      <c r="Q13" s="201"/>
      <c r="R13" s="201"/>
    </row>
    <row r="14" spans="1:18">
      <c r="A14" s="200"/>
      <c r="C14" s="96" t="s">
        <v>276</v>
      </c>
      <c r="D14" s="92">
        <f>D13</f>
        <v>33697916.666666664</v>
      </c>
      <c r="O14" s="201"/>
      <c r="P14" s="201"/>
      <c r="Q14" s="201"/>
      <c r="R14" s="201"/>
    </row>
    <row r="15" spans="1:18">
      <c r="A15" s="200"/>
      <c r="C15" s="107" t="s">
        <v>354</v>
      </c>
      <c r="D15" s="80"/>
      <c r="O15" s="201"/>
      <c r="P15" s="201"/>
      <c r="Q15" s="201"/>
      <c r="R15" s="201"/>
    </row>
    <row r="16" spans="1:18">
      <c r="A16" s="200"/>
      <c r="C16" s="108" t="s">
        <v>253</v>
      </c>
      <c r="D16" s="80"/>
      <c r="O16" s="201"/>
      <c r="P16" s="201"/>
      <c r="Q16" s="201"/>
      <c r="R16" s="201"/>
    </row>
    <row r="17" spans="1:19">
      <c r="A17" s="200"/>
      <c r="C17" s="109" t="s">
        <v>255</v>
      </c>
      <c r="D17" s="80">
        <v>18</v>
      </c>
      <c r="O17" s="201"/>
      <c r="P17" s="201"/>
      <c r="Q17" s="201"/>
      <c r="R17" s="201"/>
    </row>
    <row r="18" spans="1:19">
      <c r="A18" s="200"/>
      <c r="C18" s="109" t="s">
        <v>221</v>
      </c>
      <c r="D18" s="80">
        <v>2500</v>
      </c>
      <c r="O18" s="201"/>
      <c r="P18" s="201"/>
      <c r="Q18" s="201"/>
      <c r="R18" s="201"/>
    </row>
    <row r="19" spans="1:19">
      <c r="A19" s="200"/>
      <c r="C19" s="96" t="s">
        <v>54</v>
      </c>
      <c r="D19" s="110">
        <v>200000</v>
      </c>
      <c r="O19" s="201"/>
      <c r="P19" s="201"/>
      <c r="Q19" s="201"/>
      <c r="R19" s="201"/>
    </row>
    <row r="20" spans="1:19">
      <c r="A20" s="200"/>
      <c r="C20" s="109" t="s">
        <v>254</v>
      </c>
      <c r="D20" s="93">
        <f>PI()*D17^2/4*D19/D18</f>
        <v>20357.520395261861</v>
      </c>
      <c r="O20" s="201"/>
      <c r="P20" s="201"/>
      <c r="Q20" s="201"/>
      <c r="R20" s="201"/>
    </row>
    <row r="21" spans="1:19" ht="17" thickBot="1">
      <c r="A21" s="230"/>
      <c r="B21" s="168"/>
      <c r="C21" s="231" t="s">
        <v>304</v>
      </c>
      <c r="D21" s="221">
        <v>3</v>
      </c>
      <c r="E21" s="168"/>
      <c r="F21" s="168"/>
      <c r="G21" s="168"/>
      <c r="H21" s="168"/>
      <c r="I21" s="168"/>
      <c r="J21" s="168"/>
      <c r="K21" s="168"/>
      <c r="L21" s="168"/>
      <c r="M21" s="168"/>
      <c r="O21" s="201"/>
      <c r="P21" s="201"/>
      <c r="Q21" s="201"/>
      <c r="R21" s="201"/>
    </row>
    <row r="22" spans="1:19" ht="17" thickBot="1">
      <c r="A22" s="403" t="s">
        <v>359</v>
      </c>
      <c r="B22" s="404"/>
      <c r="C22" s="404"/>
      <c r="D22" s="404"/>
      <c r="E22" s="404"/>
      <c r="F22" s="404"/>
      <c r="G22" s="404"/>
      <c r="H22" s="404"/>
      <c r="I22" s="404"/>
      <c r="J22" s="404"/>
      <c r="K22" s="404"/>
      <c r="L22" s="404"/>
      <c r="M22" s="405"/>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6785.8401317539538</v>
      </c>
      <c r="C25" s="228">
        <f>D20/D21</f>
        <v>6785.8401317539538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5.0000000000000001E-3</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5.0000000000000001E-3</v>
      </c>
      <c r="C46" s="85"/>
      <c r="D46" s="210"/>
      <c r="E46" s="210"/>
      <c r="F46" s="210"/>
      <c r="G46" s="80" t="s">
        <v>293</v>
      </c>
    </row>
    <row r="47" spans="1:19">
      <c r="A47" s="96" t="s">
        <v>117</v>
      </c>
      <c r="B47" s="99">
        <f t="shared" si="8"/>
        <v>5.0000000000000001E-3</v>
      </c>
      <c r="C47" s="85"/>
      <c r="D47" s="192"/>
      <c r="E47" s="192"/>
      <c r="F47" s="192"/>
      <c r="G47" s="96" t="s">
        <v>115</v>
      </c>
      <c r="H47" s="205">
        <f t="shared" ref="H47:K49" si="9">IF(REBS="YES", REB, 0.005)</f>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1.0000000000000007E-4</v>
      </c>
      <c r="C48" s="85"/>
      <c r="D48" s="210"/>
      <c r="E48" s="210"/>
      <c r="F48" s="210"/>
      <c r="G48" s="96" t="s">
        <v>116</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0">
      <c r="A49" s="96" t="s">
        <v>81</v>
      </c>
      <c r="B49" s="99">
        <f>SQRT((H52^2+I52^2+J52^2+K52^2+L52^2+M52^2+N52^2+O52^2+P52^2+Q52^2+R52^2+S52^2+B38^2)/H$28)</f>
        <v>9.9999999000000077E-5</v>
      </c>
      <c r="C49" s="85"/>
      <c r="D49" s="210"/>
      <c r="E49" s="210"/>
      <c r="F49" s="210"/>
      <c r="G49" s="96" t="s">
        <v>117</v>
      </c>
      <c r="H49" s="205">
        <f t="shared" si="9"/>
        <v>5.0000000000000001E-3</v>
      </c>
      <c r="I49" s="205">
        <f t="shared" si="9"/>
        <v>5.0000000000000001E-3</v>
      </c>
      <c r="J49" s="205">
        <f t="shared" si="9"/>
        <v>5.0000000000000001E-3</v>
      </c>
      <c r="K49" s="205">
        <f t="shared" si="9"/>
        <v>5.0000000000000001E-3</v>
      </c>
      <c r="L49" s="205">
        <v>0</v>
      </c>
      <c r="M49" s="205">
        <v>0</v>
      </c>
      <c r="N49" s="205">
        <v>0</v>
      </c>
      <c r="O49" s="205">
        <v>0</v>
      </c>
      <c r="P49" s="205">
        <v>0</v>
      </c>
      <c r="Q49" s="205">
        <v>0</v>
      </c>
      <c r="R49" s="205">
        <v>0</v>
      </c>
      <c r="S49" s="205">
        <v>0</v>
      </c>
    </row>
    <row r="50" spans="1:20">
      <c r="A50" s="96" t="s">
        <v>82</v>
      </c>
      <c r="B50" s="99">
        <f>SQRT((H53^2+I53^2+J53^2+K53^2+L53^2+M53^2+N53^2+O53^2+P53^2+Q53^2+R53^2+S53^2+B39^2)/H$28)</f>
        <v>1.0000000000000007E-4</v>
      </c>
      <c r="C50" s="85"/>
      <c r="D50" s="210"/>
      <c r="E50" s="210"/>
      <c r="F50" s="210"/>
      <c r="G50" s="80" t="s">
        <v>238</v>
      </c>
    </row>
    <row r="51" spans="1:20" ht="51">
      <c r="A51" s="207" t="s">
        <v>195</v>
      </c>
      <c r="B51" s="101"/>
      <c r="D51" s="211"/>
      <c r="E51" s="211"/>
      <c r="F51" s="211"/>
      <c r="G51" s="96" t="s">
        <v>80</v>
      </c>
      <c r="H51" s="144">
        <f>H98</f>
        <v>9.9999998000000053E-5</v>
      </c>
      <c r="I51" s="144">
        <f t="shared" ref="I51:S51" si="10">I98</f>
        <v>9.9999998000000053E-5</v>
      </c>
      <c r="J51" s="144">
        <f t="shared" si="10"/>
        <v>1.0000000200000004E-4</v>
      </c>
      <c r="K51" s="144">
        <f t="shared" si="10"/>
        <v>1.0000000200000004E-4</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0">
      <c r="A52" s="96" t="s">
        <v>115</v>
      </c>
      <c r="B52" s="99">
        <f>SQRT((H55^2+I55^2+J55^2+K55^2+L55^2+M55^2+N55^2+O55^2+P55^2+Q55^2+R55^2+S55^2)/H$28)</f>
        <v>0</v>
      </c>
      <c r="C52" s="85"/>
      <c r="D52" s="211"/>
      <c r="E52" s="211"/>
      <c r="F52" s="211"/>
      <c r="G52" s="96" t="s">
        <v>81</v>
      </c>
      <c r="H52" s="144">
        <f>H102</f>
        <v>9.9999998000000053E-5</v>
      </c>
      <c r="I52" s="144">
        <f t="shared" ref="I52:S52" si="11">I102</f>
        <v>9.9999998000000053E-5</v>
      </c>
      <c r="J52" s="144">
        <f t="shared" si="11"/>
        <v>1.0000000200000004E-4</v>
      </c>
      <c r="K52" s="144">
        <f t="shared" si="11"/>
        <v>9.9999998000000053E-5</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0">
      <c r="A53" s="96" t="s">
        <v>116</v>
      </c>
      <c r="B53" s="99">
        <f t="shared" ref="B53:B54" si="12">SQRT((H56^2+I56^2+J56^2+K56^2+L56^2+M56^2+N56^2+O56^2+P56^2+Q56^2+R56^2+S56^2)/H$28)</f>
        <v>0</v>
      </c>
      <c r="C53" s="85"/>
      <c r="D53" s="211"/>
      <c r="E53" s="211"/>
      <c r="F53" s="211"/>
      <c r="G53" s="96" t="s">
        <v>82</v>
      </c>
      <c r="H53" s="144">
        <f>H106</f>
        <v>9.9999998000000053E-5</v>
      </c>
      <c r="I53" s="144">
        <f t="shared" ref="I53:S53" si="13">I106</f>
        <v>1.0000000200000004E-4</v>
      </c>
      <c r="J53" s="144">
        <f t="shared" si="13"/>
        <v>1.0000000200000004E-4</v>
      </c>
      <c r="K53" s="144">
        <f t="shared" si="13"/>
        <v>9.9999998000000053E-5</v>
      </c>
      <c r="L53" s="144">
        <f t="shared" si="13"/>
        <v>0</v>
      </c>
      <c r="M53" s="144">
        <f t="shared" si="13"/>
        <v>0</v>
      </c>
      <c r="N53" s="144">
        <f t="shared" si="13"/>
        <v>0</v>
      </c>
      <c r="O53" s="144">
        <f t="shared" si="13"/>
        <v>0</v>
      </c>
      <c r="P53" s="144">
        <f t="shared" si="13"/>
        <v>0</v>
      </c>
      <c r="Q53" s="144">
        <f t="shared" si="13"/>
        <v>0</v>
      </c>
      <c r="R53" s="144">
        <f t="shared" si="13"/>
        <v>0</v>
      </c>
      <c r="S53" s="144">
        <f t="shared" si="13"/>
        <v>0</v>
      </c>
    </row>
    <row r="54" spans="1:20">
      <c r="A54" s="96" t="s">
        <v>117</v>
      </c>
      <c r="B54" s="99">
        <f t="shared" si="12"/>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C56" s="85"/>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C57" s="85"/>
      <c r="G57" s="96" t="s">
        <v>117</v>
      </c>
      <c r="H57" s="205">
        <v>0</v>
      </c>
      <c r="I57" s="205">
        <v>0</v>
      </c>
      <c r="J57" s="205">
        <v>0</v>
      </c>
      <c r="K57" s="205">
        <v>0</v>
      </c>
      <c r="L57" s="205">
        <v>0</v>
      </c>
      <c r="M57" s="205">
        <v>0</v>
      </c>
      <c r="N57" s="205">
        <v>0</v>
      </c>
      <c r="O57" s="205">
        <v>0</v>
      </c>
      <c r="P57" s="205">
        <v>0</v>
      </c>
      <c r="Q57" s="205">
        <v>0</v>
      </c>
      <c r="R57" s="205">
        <v>0</v>
      </c>
      <c r="S57" s="205">
        <v>0</v>
      </c>
    </row>
    <row r="58" spans="1:20">
      <c r="B58" s="101"/>
      <c r="G58" s="80" t="s">
        <v>239</v>
      </c>
    </row>
    <row r="59" spans="1:20">
      <c r="A59" s="292" t="s">
        <v>387</v>
      </c>
      <c r="B59" s="292"/>
      <c r="G59" s="96" t="s">
        <v>80</v>
      </c>
      <c r="H59" s="213">
        <f>H113</f>
        <v>0</v>
      </c>
      <c r="I59" s="213">
        <f t="shared" ref="I59:S59" si="14">I113</f>
        <v>0</v>
      </c>
      <c r="J59" s="213">
        <f t="shared" si="14"/>
        <v>0</v>
      </c>
      <c r="K59" s="213">
        <f t="shared" si="14"/>
        <v>0</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0">
      <c r="A60" s="293" t="s">
        <v>80</v>
      </c>
      <c r="B60" s="294">
        <f>IF(MAX(ABS(B48),ABS(B55))=0, 0.001, MAX(ABS(B48),ABS(B55)))</f>
        <v>1.0000000000000007E-4</v>
      </c>
      <c r="G60" s="96" t="s">
        <v>81</v>
      </c>
      <c r="H60" s="213">
        <f>H118</f>
        <v>0</v>
      </c>
      <c r="I60" s="213">
        <f t="shared" ref="I60:S60" si="15">I118</f>
        <v>0</v>
      </c>
      <c r="J60" s="213">
        <f t="shared" si="15"/>
        <v>0</v>
      </c>
      <c r="K60" s="213">
        <f t="shared" si="15"/>
        <v>0</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0">
      <c r="A61" s="293" t="s">
        <v>81</v>
      </c>
      <c r="B61" s="294">
        <f t="shared" ref="B61:B62" si="16">IF(MAX(ABS(B49),ABS(B56))=0, 0.001, MAX(ABS(B49),ABS(B56)))</f>
        <v>9.9999999000000077E-5</v>
      </c>
      <c r="G61" s="96" t="s">
        <v>82</v>
      </c>
      <c r="H61" s="213">
        <f>H123</f>
        <v>0</v>
      </c>
      <c r="I61" s="213">
        <f t="shared" ref="I61:S61" si="17">I123</f>
        <v>0</v>
      </c>
      <c r="J61" s="213">
        <f t="shared" si="17"/>
        <v>0</v>
      </c>
      <c r="K61" s="213">
        <f t="shared" si="17"/>
        <v>0</v>
      </c>
      <c r="L61" s="213">
        <f t="shared" si="17"/>
        <v>0</v>
      </c>
      <c r="M61" s="213">
        <f t="shared" si="17"/>
        <v>0</v>
      </c>
      <c r="N61" s="213">
        <f t="shared" si="17"/>
        <v>0</v>
      </c>
      <c r="O61" s="213">
        <f t="shared" si="17"/>
        <v>0</v>
      </c>
      <c r="P61" s="213">
        <f t="shared" si="17"/>
        <v>0</v>
      </c>
      <c r="Q61" s="213">
        <f t="shared" si="17"/>
        <v>0</v>
      </c>
      <c r="R61" s="213">
        <f t="shared" si="17"/>
        <v>0</v>
      </c>
      <c r="S61" s="213">
        <f t="shared" si="17"/>
        <v>0</v>
      </c>
    </row>
    <row r="62" spans="1:20">
      <c r="A62" s="293" t="s">
        <v>82</v>
      </c>
      <c r="B62" s="294">
        <f t="shared" si="16"/>
        <v>1.0000000000000007E-4</v>
      </c>
      <c r="G62" s="206"/>
    </row>
    <row r="63" spans="1:20">
      <c r="I63" s="111"/>
      <c r="J63" s="111"/>
      <c r="K63" s="111"/>
      <c r="L63" s="111"/>
      <c r="M63" s="111"/>
      <c r="N63" s="111"/>
    </row>
    <row r="64" spans="1:20">
      <c r="G64" s="112"/>
      <c r="H64" s="366"/>
      <c r="I64" s="214"/>
      <c r="J64" s="214"/>
      <c r="K64" s="214"/>
      <c r="L64" s="214"/>
      <c r="M64" s="214"/>
      <c r="N64" s="214"/>
      <c r="O64" s="111"/>
    </row>
    <row r="65" spans="1:15">
      <c r="G65" s="112"/>
      <c r="H65" s="366"/>
      <c r="I65" s="214"/>
      <c r="J65" s="214"/>
      <c r="K65" s="214"/>
      <c r="L65" s="214"/>
      <c r="M65" s="214"/>
      <c r="N65" s="214"/>
      <c r="O65" s="111"/>
    </row>
    <row r="66" spans="1:15">
      <c r="G66" s="112"/>
      <c r="H66" s="366"/>
      <c r="I66" s="214"/>
      <c r="J66" s="214"/>
      <c r="K66" s="214"/>
      <c r="L66" s="214"/>
      <c r="M66" s="214"/>
      <c r="N66" s="214"/>
      <c r="O66" s="111"/>
    </row>
    <row r="67" spans="1:15">
      <c r="G67" s="112"/>
      <c r="H67" s="366"/>
      <c r="I67" s="214"/>
      <c r="J67" s="214"/>
      <c r="K67" s="214"/>
      <c r="L67" s="214"/>
      <c r="M67" s="214"/>
      <c r="N67" s="214"/>
      <c r="O67" s="111"/>
    </row>
    <row r="68" spans="1:15">
      <c r="G68" s="112"/>
      <c r="H68" s="366"/>
      <c r="I68" s="214"/>
      <c r="J68" s="214"/>
      <c r="K68" s="214"/>
      <c r="L68" s="214"/>
      <c r="M68" s="214"/>
      <c r="N68" s="214"/>
      <c r="O68" s="111"/>
    </row>
    <row r="69" spans="1:15">
      <c r="G69" s="112"/>
      <c r="H69" s="366"/>
      <c r="I69" s="214"/>
      <c r="J69" s="214"/>
      <c r="K69" s="214"/>
      <c r="L69" s="214"/>
      <c r="M69" s="214"/>
      <c r="N69" s="214"/>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G78" s="112"/>
      <c r="H78" s="187"/>
      <c r="I78" s="214"/>
      <c r="J78" s="214"/>
      <c r="K78" s="214"/>
      <c r="L78" s="214"/>
      <c r="M78" s="214"/>
      <c r="N78" s="214"/>
      <c r="O78" s="111"/>
    </row>
    <row r="79" spans="1:15">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8">H48/ABS(H33+0.000001)</f>
        <v>9.9999998000000053E-5</v>
      </c>
      <c r="I96" s="79">
        <f t="shared" si="18"/>
        <v>9.9999998000000053E-5</v>
      </c>
      <c r="J96" s="79">
        <f t="shared" si="18"/>
        <v>1.0000000200000004E-4</v>
      </c>
      <c r="K96" s="79">
        <f t="shared" si="18"/>
        <v>1.0000000200000004E-4</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96"/>
      <c r="B97" s="201"/>
      <c r="G97" s="141" t="s">
        <v>245</v>
      </c>
      <c r="H97" s="79">
        <f t="shared" ref="H97:S97" si="19">H49/ABS(H32+0.000001)</f>
        <v>5000</v>
      </c>
      <c r="I97" s="79">
        <f t="shared" si="19"/>
        <v>5000</v>
      </c>
      <c r="J97" s="79">
        <f t="shared" si="19"/>
        <v>5000</v>
      </c>
      <c r="K97" s="79">
        <f t="shared" si="19"/>
        <v>5000</v>
      </c>
      <c r="L97" s="79">
        <f t="shared" si="19"/>
        <v>0</v>
      </c>
      <c r="M97" s="79">
        <f t="shared" si="19"/>
        <v>0</v>
      </c>
      <c r="N97" s="79">
        <f t="shared" si="19"/>
        <v>0</v>
      </c>
      <c r="O97" s="79">
        <f t="shared" si="19"/>
        <v>0</v>
      </c>
      <c r="P97" s="79">
        <f t="shared" si="19"/>
        <v>0</v>
      </c>
      <c r="Q97" s="79">
        <f t="shared" si="19"/>
        <v>0</v>
      </c>
      <c r="R97" s="79">
        <f t="shared" si="19"/>
        <v>0</v>
      </c>
      <c r="S97" s="79">
        <f t="shared" si="19"/>
        <v>0</v>
      </c>
    </row>
    <row r="98" spans="1:19">
      <c r="A98" s="96"/>
      <c r="B98" s="201"/>
      <c r="G98" s="79" t="s">
        <v>243</v>
      </c>
      <c r="H98" s="216">
        <f>IF(MIN(H96,H97)&gt;1,0,MIN(H96,H97))</f>
        <v>9.9999998000000053E-5</v>
      </c>
      <c r="I98" s="216">
        <f t="shared" ref="I98:S98" si="20">IF(MIN(I96,I97)&gt;1,0,MIN(I96,I97))</f>
        <v>9.9999998000000053E-5</v>
      </c>
      <c r="J98" s="216">
        <f t="shared" si="20"/>
        <v>1.0000000200000004E-4</v>
      </c>
      <c r="K98" s="216">
        <f t="shared" si="20"/>
        <v>1.0000000200000004E-4</v>
      </c>
      <c r="L98" s="216">
        <f t="shared" si="20"/>
        <v>0</v>
      </c>
      <c r="M98" s="216">
        <f t="shared" si="20"/>
        <v>0</v>
      </c>
      <c r="N98" s="216">
        <f t="shared" si="20"/>
        <v>0</v>
      </c>
      <c r="O98" s="216">
        <f t="shared" si="20"/>
        <v>0</v>
      </c>
      <c r="P98" s="216">
        <f t="shared" si="20"/>
        <v>0</v>
      </c>
      <c r="Q98" s="216">
        <f t="shared" si="20"/>
        <v>0</v>
      </c>
      <c r="R98" s="216">
        <f t="shared" si="20"/>
        <v>0</v>
      </c>
      <c r="S98" s="216">
        <f t="shared" si="20"/>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21">H49/ABS(H31+0.000001)</f>
        <v>9.9999998000000053E-5</v>
      </c>
      <c r="I100" s="146">
        <f t="shared" si="21"/>
        <v>1.0000000200000004E-4</v>
      </c>
      <c r="J100" s="146">
        <f t="shared" si="21"/>
        <v>1.0000000200000004E-4</v>
      </c>
      <c r="K100" s="146">
        <f t="shared" si="21"/>
        <v>9.9999998000000053E-5</v>
      </c>
      <c r="L100" s="146">
        <f t="shared" si="21"/>
        <v>0</v>
      </c>
      <c r="M100" s="146">
        <f t="shared" si="21"/>
        <v>0</v>
      </c>
      <c r="N100" s="146">
        <f t="shared" si="21"/>
        <v>0</v>
      </c>
      <c r="O100" s="146">
        <f t="shared" si="21"/>
        <v>0</v>
      </c>
      <c r="P100" s="146">
        <f t="shared" si="21"/>
        <v>0</v>
      </c>
      <c r="Q100" s="146">
        <f t="shared" si="21"/>
        <v>0</v>
      </c>
      <c r="R100" s="146">
        <f t="shared" si="21"/>
        <v>0</v>
      </c>
      <c r="S100" s="146">
        <f t="shared" si="21"/>
        <v>0</v>
      </c>
    </row>
    <row r="101" spans="1:19">
      <c r="A101" s="96"/>
      <c r="B101" s="201"/>
      <c r="G101" s="108" t="s">
        <v>245</v>
      </c>
      <c r="H101" s="217">
        <f t="shared" ref="H101:S101" si="22">H47/ABS(H33+0.000001)</f>
        <v>9.9999998000000053E-5</v>
      </c>
      <c r="I101" s="217">
        <f t="shared" si="22"/>
        <v>9.9999998000000053E-5</v>
      </c>
      <c r="J101" s="217">
        <f t="shared" si="22"/>
        <v>1.0000000200000004E-4</v>
      </c>
      <c r="K101" s="217">
        <f t="shared" si="22"/>
        <v>1.0000000200000004E-4</v>
      </c>
      <c r="L101" s="217">
        <f t="shared" si="22"/>
        <v>0</v>
      </c>
      <c r="M101" s="217">
        <f t="shared" si="22"/>
        <v>0</v>
      </c>
      <c r="N101" s="217">
        <f t="shared" si="22"/>
        <v>0</v>
      </c>
      <c r="O101" s="217">
        <f t="shared" si="22"/>
        <v>0</v>
      </c>
      <c r="P101" s="217">
        <f t="shared" si="22"/>
        <v>0</v>
      </c>
      <c r="Q101" s="217">
        <f t="shared" si="22"/>
        <v>0</v>
      </c>
      <c r="R101" s="217">
        <f t="shared" si="22"/>
        <v>0</v>
      </c>
      <c r="S101" s="217">
        <f t="shared" si="22"/>
        <v>0</v>
      </c>
    </row>
    <row r="102" spans="1:19">
      <c r="A102" s="96"/>
      <c r="B102" s="201"/>
      <c r="G102" s="79" t="s">
        <v>243</v>
      </c>
      <c r="H102" s="216">
        <f>IF(MIN(H100,H101)&gt;1,0,MIN(H100,H101))</f>
        <v>9.9999998000000053E-5</v>
      </c>
      <c r="I102" s="216">
        <f t="shared" ref="I102:S102" si="23">IF(MIN(I100,I101)&gt;1,0,MIN(I100,I101))</f>
        <v>9.9999998000000053E-5</v>
      </c>
      <c r="J102" s="216">
        <f t="shared" si="23"/>
        <v>1.0000000200000004E-4</v>
      </c>
      <c r="K102" s="216">
        <f t="shared" si="23"/>
        <v>9.9999998000000053E-5</v>
      </c>
      <c r="L102" s="216">
        <f t="shared" si="23"/>
        <v>0</v>
      </c>
      <c r="M102" s="216">
        <f t="shared" si="23"/>
        <v>0</v>
      </c>
      <c r="N102" s="216">
        <f t="shared" si="23"/>
        <v>0</v>
      </c>
      <c r="O102" s="216">
        <f t="shared" si="23"/>
        <v>0</v>
      </c>
      <c r="P102" s="216">
        <f t="shared" si="23"/>
        <v>0</v>
      </c>
      <c r="Q102" s="216">
        <f t="shared" si="23"/>
        <v>0</v>
      </c>
      <c r="R102" s="216">
        <f t="shared" si="23"/>
        <v>0</v>
      </c>
      <c r="S102" s="216">
        <f t="shared" si="23"/>
        <v>0</v>
      </c>
    </row>
    <row r="103" spans="1:19">
      <c r="A103" s="96"/>
      <c r="B103" s="201"/>
      <c r="H103" s="79" t="s">
        <v>249</v>
      </c>
    </row>
    <row r="104" spans="1:19">
      <c r="A104" s="96"/>
      <c r="B104" s="201"/>
      <c r="G104" s="141" t="s">
        <v>245</v>
      </c>
      <c r="H104" s="79">
        <f t="shared" ref="H104:S104" si="24">H48/ABS(H31+0.000001)</f>
        <v>9.9999998000000053E-5</v>
      </c>
      <c r="I104" s="79">
        <f t="shared" si="24"/>
        <v>1.0000000200000004E-4</v>
      </c>
      <c r="J104" s="79">
        <f t="shared" si="24"/>
        <v>1.0000000200000004E-4</v>
      </c>
      <c r="K104" s="79">
        <f t="shared" si="24"/>
        <v>9.9999998000000053E-5</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A105" s="96"/>
      <c r="B105" s="201"/>
      <c r="G105" s="141" t="s">
        <v>245</v>
      </c>
      <c r="H105" s="79">
        <f t="shared" ref="H105:S105" si="25">H47/ABS(H32+0.000001)</f>
        <v>5000</v>
      </c>
      <c r="I105" s="79">
        <f t="shared" si="25"/>
        <v>5000</v>
      </c>
      <c r="J105" s="79">
        <f t="shared" si="25"/>
        <v>5000</v>
      </c>
      <c r="K105" s="79">
        <f t="shared" si="25"/>
        <v>5000</v>
      </c>
      <c r="L105" s="79">
        <f t="shared" si="25"/>
        <v>0</v>
      </c>
      <c r="M105" s="79">
        <f t="shared" si="25"/>
        <v>0</v>
      </c>
      <c r="N105" s="79">
        <f t="shared" si="25"/>
        <v>0</v>
      </c>
      <c r="O105" s="79">
        <f t="shared" si="25"/>
        <v>0</v>
      </c>
      <c r="P105" s="79">
        <f t="shared" si="25"/>
        <v>0</v>
      </c>
      <c r="Q105" s="79">
        <f t="shared" si="25"/>
        <v>0</v>
      </c>
      <c r="R105" s="79">
        <f t="shared" si="25"/>
        <v>0</v>
      </c>
      <c r="S105" s="79">
        <f t="shared" si="25"/>
        <v>0</v>
      </c>
    </row>
    <row r="106" spans="1:19">
      <c r="A106" s="96"/>
      <c r="B106" s="201"/>
      <c r="G106" s="79" t="s">
        <v>243</v>
      </c>
      <c r="H106" s="216">
        <f>IF(MIN(H104,H105)&gt;1,0,MIN(H104,H105))</f>
        <v>9.9999998000000053E-5</v>
      </c>
      <c r="I106" s="216">
        <f t="shared" ref="I106:S106" si="26">IF(MIN(I104,I105)&gt;1,0,MIN(I104,I105))</f>
        <v>1.0000000200000004E-4</v>
      </c>
      <c r="J106" s="216">
        <f t="shared" si="26"/>
        <v>1.0000000200000004E-4</v>
      </c>
      <c r="K106" s="216">
        <f t="shared" si="26"/>
        <v>9.9999998000000053E-5</v>
      </c>
      <c r="L106" s="216">
        <f t="shared" si="26"/>
        <v>0</v>
      </c>
      <c r="M106" s="216">
        <f t="shared" si="26"/>
        <v>0</v>
      </c>
      <c r="N106" s="216">
        <f t="shared" si="26"/>
        <v>0</v>
      </c>
      <c r="O106" s="216">
        <f t="shared" si="26"/>
        <v>0</v>
      </c>
      <c r="P106" s="216">
        <f t="shared" si="26"/>
        <v>0</v>
      </c>
      <c r="Q106" s="216">
        <f t="shared" si="26"/>
        <v>0</v>
      </c>
      <c r="R106" s="216">
        <f t="shared" si="26"/>
        <v>0</v>
      </c>
      <c r="S106" s="216">
        <f t="shared" si="26"/>
        <v>0</v>
      </c>
    </row>
    <row r="107" spans="1:19">
      <c r="A107" s="96"/>
      <c r="B107" s="201"/>
    </row>
    <row r="108" spans="1:19">
      <c r="A108" s="96"/>
      <c r="B108" s="201"/>
      <c r="G108" s="215" t="s">
        <v>294</v>
      </c>
      <c r="H108" s="215"/>
      <c r="I108" s="215"/>
      <c r="J108" s="215"/>
      <c r="K108" s="215"/>
      <c r="L108" s="215"/>
      <c r="M108" s="215"/>
      <c r="N108" s="215"/>
      <c r="O108" s="215"/>
      <c r="P108" s="215"/>
    </row>
    <row r="109" spans="1:19">
      <c r="A109" s="96"/>
      <c r="B109" s="201"/>
      <c r="H109" s="96" t="s">
        <v>240</v>
      </c>
      <c r="I109" s="96"/>
      <c r="J109" s="96"/>
      <c r="K109" s="96"/>
      <c r="L109" s="96"/>
      <c r="M109" s="96"/>
      <c r="N109" s="96"/>
      <c r="O109" s="96"/>
      <c r="P109" s="96"/>
      <c r="Q109" s="96"/>
      <c r="R109" s="96"/>
      <c r="S109" s="96"/>
    </row>
    <row r="110" spans="1:19">
      <c r="G110" s="141" t="s">
        <v>245</v>
      </c>
      <c r="H110" s="216">
        <f t="shared" ref="H110:S110" si="27">H56/(H33+0.000001)</f>
        <v>0</v>
      </c>
      <c r="I110" s="216">
        <f t="shared" si="27"/>
        <v>0</v>
      </c>
      <c r="J110" s="216">
        <f t="shared" si="27"/>
        <v>0</v>
      </c>
      <c r="K110" s="216">
        <f t="shared" si="27"/>
        <v>0</v>
      </c>
      <c r="L110" s="216">
        <f t="shared" si="27"/>
        <v>0</v>
      </c>
      <c r="M110" s="216">
        <f t="shared" si="27"/>
        <v>0</v>
      </c>
      <c r="N110" s="216">
        <f t="shared" si="27"/>
        <v>0</v>
      </c>
      <c r="O110" s="216">
        <f t="shared" si="27"/>
        <v>0</v>
      </c>
      <c r="P110" s="216">
        <f t="shared" si="27"/>
        <v>0</v>
      </c>
      <c r="Q110" s="216">
        <f t="shared" si="27"/>
        <v>0</v>
      </c>
      <c r="R110" s="216">
        <f t="shared" si="27"/>
        <v>0</v>
      </c>
      <c r="S110" s="216">
        <f t="shared" si="27"/>
        <v>0</v>
      </c>
    </row>
    <row r="111" spans="1:19">
      <c r="G111" s="141" t="s">
        <v>245</v>
      </c>
      <c r="H111" s="218">
        <f t="shared" ref="H111:S111" si="28">H57/(H32+0.000001)</f>
        <v>0</v>
      </c>
      <c r="I111" s="218">
        <f t="shared" si="28"/>
        <v>0</v>
      </c>
      <c r="J111" s="218">
        <f t="shared" si="28"/>
        <v>0</v>
      </c>
      <c r="K111" s="218">
        <f t="shared" si="28"/>
        <v>0</v>
      </c>
      <c r="L111" s="218">
        <f t="shared" si="28"/>
        <v>0</v>
      </c>
      <c r="M111" s="218">
        <f t="shared" si="28"/>
        <v>0</v>
      </c>
      <c r="N111" s="218">
        <f t="shared" si="28"/>
        <v>0</v>
      </c>
      <c r="O111" s="218">
        <f t="shared" si="28"/>
        <v>0</v>
      </c>
      <c r="P111" s="218">
        <f t="shared" si="28"/>
        <v>0</v>
      </c>
      <c r="Q111" s="218">
        <f t="shared" si="28"/>
        <v>0</v>
      </c>
      <c r="R111" s="218">
        <f t="shared" si="28"/>
        <v>0</v>
      </c>
      <c r="S111" s="218">
        <f t="shared" si="28"/>
        <v>0</v>
      </c>
    </row>
    <row r="112" spans="1:19">
      <c r="G112" s="79" t="s">
        <v>244</v>
      </c>
      <c r="H112" s="136">
        <f>SIGN(H110+0.000000000001)*SIGN(H111+0.000000000001)</f>
        <v>1</v>
      </c>
      <c r="I112" s="136">
        <f t="shared" ref="I112:S112" si="29">SIGN(I110+0.000000000001)*SIGN(I111+0.000000000001)</f>
        <v>1</v>
      </c>
      <c r="J112" s="136">
        <f t="shared" si="29"/>
        <v>1</v>
      </c>
      <c r="K112" s="136">
        <f t="shared" si="29"/>
        <v>1</v>
      </c>
      <c r="L112" s="136">
        <f t="shared" si="29"/>
        <v>1</v>
      </c>
      <c r="M112" s="136">
        <f t="shared" si="29"/>
        <v>1</v>
      </c>
      <c r="N112" s="136">
        <f t="shared" si="29"/>
        <v>1</v>
      </c>
      <c r="O112" s="136">
        <f t="shared" si="29"/>
        <v>1</v>
      </c>
      <c r="P112" s="136">
        <f t="shared" si="29"/>
        <v>1</v>
      </c>
      <c r="Q112" s="136">
        <f t="shared" si="29"/>
        <v>1</v>
      </c>
      <c r="R112" s="136">
        <f t="shared" si="29"/>
        <v>1</v>
      </c>
      <c r="S112" s="136">
        <f t="shared" si="29"/>
        <v>1</v>
      </c>
    </row>
    <row r="113" spans="7:19">
      <c r="G113" s="79" t="s">
        <v>243</v>
      </c>
      <c r="H113" s="216">
        <f>IF(H112*MIN(ABS(H110),ABS(H111))&gt;1,0,H112*MIN(ABS(H110),ABS(H111)))</f>
        <v>0</v>
      </c>
      <c r="I113" s="216">
        <f t="shared" ref="I113:S113" si="30">IF(I112*MIN(ABS(I110),ABS(I111))&gt;1,0,I112*MIN(ABS(I110),ABS(I111)))</f>
        <v>0</v>
      </c>
      <c r="J113" s="216">
        <f t="shared" si="30"/>
        <v>0</v>
      </c>
      <c r="K113" s="216">
        <f t="shared" si="30"/>
        <v>0</v>
      </c>
      <c r="L113" s="216">
        <f t="shared" si="30"/>
        <v>0</v>
      </c>
      <c r="M113" s="216">
        <f t="shared" si="30"/>
        <v>0</v>
      </c>
      <c r="N113" s="216">
        <f t="shared" si="30"/>
        <v>0</v>
      </c>
      <c r="O113" s="216">
        <f t="shared" si="30"/>
        <v>0</v>
      </c>
      <c r="P113" s="216">
        <f t="shared" si="30"/>
        <v>0</v>
      </c>
      <c r="Q113" s="216">
        <f t="shared" si="30"/>
        <v>0</v>
      </c>
      <c r="R113" s="216">
        <f t="shared" si="30"/>
        <v>0</v>
      </c>
      <c r="S113" s="216">
        <f t="shared" si="30"/>
        <v>0</v>
      </c>
    </row>
    <row r="114" spans="7:19">
      <c r="H114" s="96" t="s">
        <v>241</v>
      </c>
      <c r="I114" s="96"/>
      <c r="J114" s="96"/>
      <c r="K114" s="96"/>
      <c r="L114" s="96"/>
      <c r="M114" s="96"/>
      <c r="N114" s="96"/>
      <c r="O114" s="96"/>
      <c r="P114" s="96"/>
      <c r="Q114" s="96"/>
      <c r="R114" s="96"/>
      <c r="S114" s="96"/>
    </row>
    <row r="115" spans="7:19">
      <c r="G115" s="108" t="s">
        <v>245</v>
      </c>
      <c r="H115" s="146">
        <f t="shared" ref="H115:S115" si="31">-H57/(H31+0.000001)</f>
        <v>0</v>
      </c>
      <c r="I115" s="146">
        <f t="shared" si="31"/>
        <v>0</v>
      </c>
      <c r="J115" s="146">
        <f t="shared" si="31"/>
        <v>0</v>
      </c>
      <c r="K115" s="146">
        <f t="shared" si="31"/>
        <v>0</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08" t="s">
        <v>245</v>
      </c>
      <c r="H116" s="146">
        <f t="shared" ref="H116:S116" si="32">H55/(H33+0.000001)</f>
        <v>0</v>
      </c>
      <c r="I116" s="146">
        <f t="shared" si="32"/>
        <v>0</v>
      </c>
      <c r="J116" s="146">
        <f t="shared" si="32"/>
        <v>0</v>
      </c>
      <c r="K116" s="146">
        <f t="shared" si="32"/>
        <v>0</v>
      </c>
      <c r="L116" s="146">
        <f t="shared" si="32"/>
        <v>0</v>
      </c>
      <c r="M116" s="146">
        <f t="shared" si="32"/>
        <v>0</v>
      </c>
      <c r="N116" s="146">
        <f t="shared" si="32"/>
        <v>0</v>
      </c>
      <c r="O116" s="146">
        <f t="shared" si="32"/>
        <v>0</v>
      </c>
      <c r="P116" s="146">
        <f t="shared" si="32"/>
        <v>0</v>
      </c>
      <c r="Q116" s="146">
        <f t="shared" si="32"/>
        <v>0</v>
      </c>
      <c r="R116" s="146">
        <f t="shared" si="32"/>
        <v>0</v>
      </c>
      <c r="S116" s="146">
        <f t="shared" si="32"/>
        <v>0</v>
      </c>
    </row>
    <row r="117" spans="7:19">
      <c r="G117" s="146" t="s">
        <v>244</v>
      </c>
      <c r="H117" s="219">
        <f>SIGN(H115+0.000000000001)*SIGN(H116+0.000000000001)</f>
        <v>1</v>
      </c>
      <c r="I117" s="219">
        <f t="shared" ref="I117:S117" si="33">SIGN(I115+0.000000000001)*SIGN(I116+0.000000000001)</f>
        <v>1</v>
      </c>
      <c r="J117" s="219">
        <f t="shared" si="33"/>
        <v>1</v>
      </c>
      <c r="K117" s="219">
        <f t="shared" si="33"/>
        <v>1</v>
      </c>
      <c r="L117" s="219">
        <f t="shared" si="33"/>
        <v>1</v>
      </c>
      <c r="M117" s="219">
        <f t="shared" si="33"/>
        <v>1</v>
      </c>
      <c r="N117" s="219">
        <f t="shared" si="33"/>
        <v>1</v>
      </c>
      <c r="O117" s="219">
        <f t="shared" si="33"/>
        <v>1</v>
      </c>
      <c r="P117" s="219">
        <f t="shared" si="33"/>
        <v>1</v>
      </c>
      <c r="Q117" s="219">
        <f t="shared" si="33"/>
        <v>1</v>
      </c>
      <c r="R117" s="219">
        <f t="shared" si="33"/>
        <v>1</v>
      </c>
      <c r="S117" s="219">
        <f t="shared" si="33"/>
        <v>1</v>
      </c>
    </row>
    <row r="118" spans="7:19">
      <c r="G118" s="146" t="s">
        <v>243</v>
      </c>
      <c r="H118" s="220">
        <f>IF(H117*MIN(ABS(H115),ABS(H116))&gt;1,0,H117*MIN(ABS(H115),ABS(H116)))</f>
        <v>0</v>
      </c>
      <c r="I118" s="220">
        <f t="shared" ref="I118:S118" si="34">IF(I117*MIN(ABS(I115),ABS(I116))&gt;1,0,I117*MIN(ABS(I115),ABS(I116)))</f>
        <v>0</v>
      </c>
      <c r="J118" s="220">
        <f t="shared" si="34"/>
        <v>0</v>
      </c>
      <c r="K118" s="220">
        <f t="shared" si="34"/>
        <v>0</v>
      </c>
      <c r="L118" s="220">
        <f t="shared" si="34"/>
        <v>0</v>
      </c>
      <c r="M118" s="220">
        <f t="shared" si="34"/>
        <v>0</v>
      </c>
      <c r="N118" s="220">
        <f t="shared" si="34"/>
        <v>0</v>
      </c>
      <c r="O118" s="220">
        <f t="shared" si="34"/>
        <v>0</v>
      </c>
      <c r="P118" s="220">
        <f t="shared" si="34"/>
        <v>0</v>
      </c>
      <c r="Q118" s="220">
        <f t="shared" si="34"/>
        <v>0</v>
      </c>
      <c r="R118" s="220">
        <f t="shared" si="34"/>
        <v>0</v>
      </c>
      <c r="S118" s="220">
        <f t="shared" si="34"/>
        <v>0</v>
      </c>
    </row>
    <row r="119" spans="7:19">
      <c r="H119" s="96" t="s">
        <v>242</v>
      </c>
      <c r="I119" s="96"/>
      <c r="J119" s="96"/>
      <c r="K119" s="96"/>
      <c r="L119" s="96"/>
      <c r="M119" s="96"/>
      <c r="N119" s="96"/>
      <c r="O119" s="96"/>
      <c r="P119" s="96"/>
      <c r="Q119" s="96"/>
      <c r="R119" s="96"/>
      <c r="S119" s="96"/>
    </row>
    <row r="120" spans="7:19">
      <c r="G120" s="141" t="s">
        <v>245</v>
      </c>
      <c r="H120" s="216">
        <f t="shared" ref="H120:S120" si="35">H56/(H31+0.000001)</f>
        <v>0</v>
      </c>
      <c r="I120" s="216">
        <f t="shared" si="35"/>
        <v>0</v>
      </c>
      <c r="J120" s="216">
        <f t="shared" si="35"/>
        <v>0</v>
      </c>
      <c r="K120" s="216">
        <f t="shared" si="35"/>
        <v>0</v>
      </c>
      <c r="L120" s="216">
        <f t="shared" si="35"/>
        <v>0</v>
      </c>
      <c r="M120" s="216">
        <f t="shared" si="35"/>
        <v>0</v>
      </c>
      <c r="N120" s="216">
        <f t="shared" si="35"/>
        <v>0</v>
      </c>
      <c r="O120" s="216">
        <f t="shared" si="35"/>
        <v>0</v>
      </c>
      <c r="P120" s="216">
        <f t="shared" si="35"/>
        <v>0</v>
      </c>
      <c r="Q120" s="216">
        <f t="shared" si="35"/>
        <v>0</v>
      </c>
      <c r="R120" s="216">
        <f t="shared" si="35"/>
        <v>0</v>
      </c>
      <c r="S120" s="216">
        <f t="shared" si="35"/>
        <v>0</v>
      </c>
    </row>
    <row r="121" spans="7:19">
      <c r="G121" s="141" t="s">
        <v>245</v>
      </c>
      <c r="H121" s="79">
        <f t="shared" ref="H121:S121" si="36">H55/(H32+0.000001)</f>
        <v>0</v>
      </c>
      <c r="I121" s="79">
        <f t="shared" si="36"/>
        <v>0</v>
      </c>
      <c r="J121" s="79">
        <f t="shared" si="36"/>
        <v>0</v>
      </c>
      <c r="K121" s="79">
        <f t="shared" si="36"/>
        <v>0</v>
      </c>
      <c r="L121" s="79">
        <f t="shared" si="36"/>
        <v>0</v>
      </c>
      <c r="M121" s="79">
        <f t="shared" si="36"/>
        <v>0</v>
      </c>
      <c r="N121" s="79">
        <f t="shared" si="36"/>
        <v>0</v>
      </c>
      <c r="O121" s="79">
        <f t="shared" si="36"/>
        <v>0</v>
      </c>
      <c r="P121" s="79">
        <f t="shared" si="36"/>
        <v>0</v>
      </c>
      <c r="Q121" s="79">
        <f t="shared" si="36"/>
        <v>0</v>
      </c>
      <c r="R121" s="79">
        <f t="shared" si="36"/>
        <v>0</v>
      </c>
      <c r="S121" s="79">
        <f t="shared" si="36"/>
        <v>0</v>
      </c>
    </row>
    <row r="122" spans="7:19">
      <c r="G122" s="79" t="s">
        <v>244</v>
      </c>
      <c r="H122" s="136">
        <f>SIGN(H120+0.000000000001)*SIGN(H121+0.000000000001)</f>
        <v>1</v>
      </c>
      <c r="I122" s="136">
        <f t="shared" ref="I122:S122" si="37">SIGN(I120+0.000000000001)*SIGN(I121+0.000000000001)</f>
        <v>1</v>
      </c>
      <c r="J122" s="136">
        <f t="shared" si="37"/>
        <v>1</v>
      </c>
      <c r="K122" s="136">
        <f t="shared" si="37"/>
        <v>1</v>
      </c>
      <c r="L122" s="136">
        <f t="shared" si="37"/>
        <v>1</v>
      </c>
      <c r="M122" s="136">
        <f t="shared" si="37"/>
        <v>1</v>
      </c>
      <c r="N122" s="136">
        <f t="shared" si="37"/>
        <v>1</v>
      </c>
      <c r="O122" s="136">
        <f t="shared" si="37"/>
        <v>1</v>
      </c>
      <c r="P122" s="136">
        <f t="shared" si="37"/>
        <v>1</v>
      </c>
      <c r="Q122" s="136">
        <f t="shared" si="37"/>
        <v>1</v>
      </c>
      <c r="R122" s="136">
        <f t="shared" si="37"/>
        <v>1</v>
      </c>
      <c r="S122" s="136">
        <f t="shared" si="37"/>
        <v>1</v>
      </c>
    </row>
    <row r="123" spans="7:19">
      <c r="G123" s="79" t="s">
        <v>243</v>
      </c>
      <c r="H123" s="216">
        <f>IF(H122*MIN(ABS(H120),ABS(H121))&gt;1,0,H122*MIN(ABS(H120),ABS(H121)))</f>
        <v>0</v>
      </c>
      <c r="I123" s="216">
        <f t="shared" ref="I123:S123" si="38">IF(I122*MIN(ABS(I120),ABS(I121))&gt;1,0,I122*MIN(ABS(I120),ABS(I121)))</f>
        <v>0</v>
      </c>
      <c r="J123" s="216">
        <f t="shared" si="38"/>
        <v>0</v>
      </c>
      <c r="K123" s="216">
        <f t="shared" si="38"/>
        <v>0</v>
      </c>
      <c r="L123" s="216">
        <f t="shared" si="38"/>
        <v>0</v>
      </c>
      <c r="M123" s="216">
        <f t="shared" si="38"/>
        <v>0</v>
      </c>
      <c r="N123" s="216">
        <f t="shared" si="38"/>
        <v>0</v>
      </c>
      <c r="O123" s="216">
        <f t="shared" si="38"/>
        <v>0</v>
      </c>
      <c r="P123" s="216">
        <f t="shared" si="38"/>
        <v>0</v>
      </c>
      <c r="Q123" s="216">
        <f t="shared" si="38"/>
        <v>0</v>
      </c>
      <c r="R123" s="216">
        <f t="shared" si="38"/>
        <v>0</v>
      </c>
      <c r="S123" s="216">
        <f t="shared" si="38"/>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90"/>
  <sheetViews>
    <sheetView zoomScale="75" zoomScaleNormal="75" zoomScalePageLayoutView="75" workbookViewId="0">
      <selection activeCell="V49" sqref="V49"/>
    </sheetView>
  </sheetViews>
  <sheetFormatPr baseColWidth="10" defaultColWidth="8.83203125" defaultRowHeight="16"/>
  <cols>
    <col min="1" max="1" width="46.5" style="79" customWidth="1"/>
    <col min="2" max="2" width="14.6640625" style="80" customWidth="1"/>
    <col min="3" max="3" width="9.6640625" style="80" customWidth="1"/>
    <col min="4" max="4" width="12.6640625" style="79" customWidth="1"/>
    <col min="5" max="8" width="9.6640625" style="79" customWidth="1"/>
    <col min="9" max="9" width="9.6640625" style="141" customWidth="1"/>
    <col min="10" max="10" width="9.6640625" style="79" customWidth="1"/>
    <col min="11" max="16384" width="8.83203125" style="79"/>
  </cols>
  <sheetData>
    <row r="1" spans="1:4">
      <c r="A1" s="79" t="s">
        <v>363</v>
      </c>
    </row>
    <row r="2" spans="1:4">
      <c r="A2" s="80" t="s">
        <v>256</v>
      </c>
    </row>
    <row r="3" spans="1:4">
      <c r="A3" s="96" t="s">
        <v>353</v>
      </c>
      <c r="B3" s="80">
        <v>25</v>
      </c>
      <c r="C3" s="80" t="s">
        <v>189</v>
      </c>
    </row>
    <row r="4" spans="1:4">
      <c r="A4" s="96" t="s">
        <v>32</v>
      </c>
      <c r="B4" s="80">
        <f>1770*9.8</f>
        <v>17346</v>
      </c>
      <c r="C4" s="80">
        <v>17400</v>
      </c>
    </row>
    <row r="5" spans="1:4">
      <c r="A5" s="96" t="s">
        <v>230</v>
      </c>
      <c r="B5" s="80">
        <f>647*1000</f>
        <v>647000</v>
      </c>
      <c r="C5" s="80">
        <f>392*1000</f>
        <v>392000</v>
      </c>
    </row>
    <row r="6" spans="1:4">
      <c r="A6" s="96" t="s">
        <v>33</v>
      </c>
      <c r="B6" s="80">
        <v>3</v>
      </c>
      <c r="C6" s="80">
        <v>3</v>
      </c>
    </row>
    <row r="7" spans="1:4">
      <c r="A7" s="96" t="s">
        <v>34</v>
      </c>
      <c r="B7" s="80">
        <v>0.01</v>
      </c>
      <c r="C7" s="80">
        <v>0.01</v>
      </c>
    </row>
    <row r="8" spans="1:4">
      <c r="A8" s="96" t="s">
        <v>274</v>
      </c>
      <c r="B8" s="81">
        <f>C4/(B6*B7)</f>
        <v>580000</v>
      </c>
      <c r="C8" s="81">
        <f>C4/(C6*C7)</f>
        <v>580000</v>
      </c>
    </row>
    <row r="9" spans="1:4">
      <c r="A9" s="96" t="s">
        <v>35</v>
      </c>
      <c r="B9" s="80">
        <v>25</v>
      </c>
    </row>
    <row r="10" spans="1:4">
      <c r="A10" s="96" t="s">
        <v>231</v>
      </c>
      <c r="B10" s="95">
        <f>B5*B9^2/4</f>
        <v>101093750</v>
      </c>
    </row>
    <row r="11" spans="1:4">
      <c r="A11" s="96" t="s">
        <v>275</v>
      </c>
      <c r="B11" s="95">
        <f>B5*B9^2/12</f>
        <v>33697916.666666664</v>
      </c>
    </row>
    <row r="12" spans="1:4">
      <c r="A12" s="96" t="s">
        <v>276</v>
      </c>
      <c r="B12" s="92">
        <f>B11</f>
        <v>33697916.666666664</v>
      </c>
    </row>
    <row r="13" spans="1:4">
      <c r="A13" s="107" t="s">
        <v>252</v>
      </c>
    </row>
    <row r="14" spans="1:4">
      <c r="A14" s="108" t="s">
        <v>253</v>
      </c>
      <c r="D14" s="80"/>
    </row>
    <row r="15" spans="1:4">
      <c r="A15" s="109" t="s">
        <v>255</v>
      </c>
      <c r="B15" s="80">
        <v>18</v>
      </c>
      <c r="D15" s="80"/>
    </row>
    <row r="16" spans="1:4">
      <c r="A16" s="109" t="s">
        <v>221</v>
      </c>
      <c r="B16" s="80">
        <v>2500</v>
      </c>
      <c r="D16" s="80"/>
    </row>
    <row r="17" spans="1:11">
      <c r="A17" s="96" t="s">
        <v>54</v>
      </c>
      <c r="B17" s="110">
        <v>200000</v>
      </c>
      <c r="C17" s="110"/>
      <c r="D17" s="110"/>
    </row>
    <row r="18" spans="1:11">
      <c r="A18" s="109" t="s">
        <v>254</v>
      </c>
      <c r="B18" s="93">
        <f>PI()*B15^2/4*B17/B16</f>
        <v>20357.520395261861</v>
      </c>
      <c r="C18" s="93"/>
      <c r="D18" s="93"/>
    </row>
    <row r="19" spans="1:11" s="158" customFormat="1" ht="17" thickBot="1">
      <c r="A19" s="163" t="s">
        <v>304</v>
      </c>
      <c r="B19" s="159">
        <v>3</v>
      </c>
      <c r="C19" s="159"/>
      <c r="D19" s="159"/>
      <c r="F19" s="159"/>
      <c r="I19" s="160"/>
    </row>
    <row r="20" spans="1:11" s="155" customFormat="1">
      <c r="A20" s="154" t="s">
        <v>327</v>
      </c>
      <c r="B20" s="164"/>
      <c r="D20" s="164"/>
      <c r="E20" s="164"/>
      <c r="F20" s="164"/>
      <c r="G20" s="164"/>
    </row>
    <row r="21" spans="1:11" s="155" customFormat="1">
      <c r="A21" s="154" t="s">
        <v>305</v>
      </c>
      <c r="B21" s="164"/>
      <c r="C21" s="157"/>
      <c r="D21" s="194"/>
      <c r="E21" s="195"/>
      <c r="F21" s="195"/>
      <c r="G21" s="195"/>
      <c r="H21" s="195"/>
      <c r="I21" s="195"/>
      <c r="J21" s="195"/>
      <c r="K21" s="196"/>
    </row>
    <row r="22" spans="1:11">
      <c r="A22" s="153" t="s">
        <v>325</v>
      </c>
      <c r="B22" s="164" t="s">
        <v>296</v>
      </c>
      <c r="C22" s="112" t="s">
        <v>268</v>
      </c>
      <c r="D22" s="222" t="s">
        <v>271</v>
      </c>
      <c r="E22" s="139">
        <f>B28^3/(3*B24*B35)</f>
        <v>1.3907171133960606E-3</v>
      </c>
      <c r="F22" s="79">
        <v>0</v>
      </c>
      <c r="G22" s="79">
        <v>0</v>
      </c>
      <c r="H22" s="79">
        <v>0</v>
      </c>
      <c r="I22" s="134">
        <f>E26</f>
        <v>-1.0430378350470454E-5</v>
      </c>
      <c r="J22" s="79">
        <v>0</v>
      </c>
      <c r="K22" s="82" t="s">
        <v>262</v>
      </c>
    </row>
    <row r="23" spans="1:11">
      <c r="A23" s="153" t="s">
        <v>328</v>
      </c>
      <c r="B23" s="111" t="s">
        <v>297</v>
      </c>
      <c r="C23" s="112" t="s">
        <v>269</v>
      </c>
      <c r="D23" s="223"/>
      <c r="E23" s="79">
        <v>0</v>
      </c>
      <c r="F23" s="134">
        <f>B28^3/(3*B24*B35)</f>
        <v>1.3907171133960606E-3</v>
      </c>
      <c r="G23" s="79">
        <v>0</v>
      </c>
      <c r="H23" s="134">
        <f>B28^2/(2*B24*B35)</f>
        <v>1.0430378350470454E-5</v>
      </c>
      <c r="I23" s="79">
        <v>0</v>
      </c>
      <c r="J23" s="79">
        <v>0</v>
      </c>
      <c r="K23" s="82" t="s">
        <v>263</v>
      </c>
    </row>
    <row r="24" spans="1:11">
      <c r="A24" s="96" t="s">
        <v>277</v>
      </c>
      <c r="B24" s="93">
        <v>200000</v>
      </c>
      <c r="C24" s="112" t="s">
        <v>270</v>
      </c>
      <c r="D24" s="223"/>
      <c r="E24" s="79">
        <v>0</v>
      </c>
      <c r="F24" s="79">
        <v>0</v>
      </c>
      <c r="G24" s="134">
        <f>B28/(B24*B33)</f>
        <v>4.0743665431525208E-6</v>
      </c>
      <c r="H24" s="79">
        <v>0</v>
      </c>
      <c r="I24" s="79">
        <v>0</v>
      </c>
      <c r="J24" s="79">
        <v>0</v>
      </c>
      <c r="K24" s="82" t="s">
        <v>264</v>
      </c>
    </row>
    <row r="25" spans="1:11">
      <c r="A25" s="96" t="s">
        <v>273</v>
      </c>
      <c r="B25" s="80">
        <v>0.28999999999999998</v>
      </c>
      <c r="C25" s="112" t="s">
        <v>259</v>
      </c>
      <c r="D25" s="223"/>
      <c r="E25" s="140"/>
      <c r="F25" s="134">
        <f>H23</f>
        <v>1.0430378350470454E-5</v>
      </c>
      <c r="G25" s="79">
        <v>0</v>
      </c>
      <c r="H25" s="134">
        <f>B28/(B24*B35)</f>
        <v>1.0430378350470454E-7</v>
      </c>
      <c r="I25" s="79">
        <v>0</v>
      </c>
      <c r="J25" s="79">
        <v>0</v>
      </c>
      <c r="K25" s="82" t="s">
        <v>265</v>
      </c>
    </row>
    <row r="26" spans="1:11">
      <c r="A26" s="96" t="s">
        <v>278</v>
      </c>
      <c r="B26" s="92">
        <f>B24/(2*(1+B25))</f>
        <v>77519.379844961237</v>
      </c>
      <c r="C26" s="112" t="s">
        <v>261</v>
      </c>
      <c r="D26" s="223"/>
      <c r="E26" s="134">
        <f>-1*B29^2/(2*B24*B35)</f>
        <v>-1.0430378350470454E-5</v>
      </c>
      <c r="F26" s="79">
        <v>0</v>
      </c>
      <c r="G26" s="79">
        <v>0</v>
      </c>
      <c r="H26" s="79">
        <v>0</v>
      </c>
      <c r="I26" s="134">
        <f>B28/(B24*B35)</f>
        <v>1.0430378350470454E-7</v>
      </c>
      <c r="J26" s="79">
        <v>0</v>
      </c>
      <c r="K26" s="82" t="s">
        <v>266</v>
      </c>
    </row>
    <row r="27" spans="1:11">
      <c r="A27" s="184" t="s">
        <v>330</v>
      </c>
      <c r="C27" s="112" t="s">
        <v>260</v>
      </c>
      <c r="D27" s="246"/>
      <c r="E27" s="79">
        <v>0</v>
      </c>
      <c r="F27" s="79">
        <v>0</v>
      </c>
      <c r="G27" s="79">
        <v>0</v>
      </c>
      <c r="H27" s="79">
        <v>0</v>
      </c>
      <c r="I27" s="79">
        <v>0</v>
      </c>
      <c r="J27" s="134">
        <f>B29/(B26*B36)</f>
        <v>1.3455188072106887E-7</v>
      </c>
      <c r="K27" s="82" t="s">
        <v>267</v>
      </c>
    </row>
    <row r="28" spans="1:11">
      <c r="A28" s="96" t="s">
        <v>335</v>
      </c>
      <c r="B28" s="81">
        <f>ABS('CSs and Loads'!C15)</f>
        <v>200</v>
      </c>
      <c r="C28" s="79"/>
    </row>
    <row r="29" spans="1:11">
      <c r="A29" s="96" t="s">
        <v>221</v>
      </c>
      <c r="B29" s="81">
        <f>B28</f>
        <v>200</v>
      </c>
      <c r="C29" s="79"/>
    </row>
    <row r="30" spans="1:11">
      <c r="A30" s="96" t="s">
        <v>332</v>
      </c>
      <c r="B30" s="80">
        <v>25</v>
      </c>
      <c r="C30" s="92"/>
    </row>
    <row r="31" spans="1:11">
      <c r="A31" s="96" t="s">
        <v>331</v>
      </c>
      <c r="B31" s="152">
        <v>0.5</v>
      </c>
      <c r="C31" s="79"/>
      <c r="H31" s="136"/>
    </row>
    <row r="32" spans="1:11">
      <c r="A32" s="96" t="s">
        <v>257</v>
      </c>
      <c r="B32" s="79"/>
      <c r="C32" s="92"/>
    </row>
    <row r="33" spans="1:11">
      <c r="A33" s="96" t="s">
        <v>258</v>
      </c>
      <c r="B33" s="92">
        <f>B31*PI()*B30^2/4</f>
        <v>245.43692606170259</v>
      </c>
      <c r="C33" s="92"/>
    </row>
    <row r="34" spans="1:11">
      <c r="A34" s="96" t="s">
        <v>299</v>
      </c>
      <c r="B34" s="79"/>
      <c r="C34" s="92"/>
    </row>
    <row r="35" spans="1:11">
      <c r="A35" s="96" t="s">
        <v>300</v>
      </c>
      <c r="B35" s="92">
        <f>B31*PI()*B30^4/64</f>
        <v>9587.3799242852565</v>
      </c>
      <c r="C35" s="93"/>
    </row>
    <row r="36" spans="1:11">
      <c r="A36" s="96" t="s">
        <v>223</v>
      </c>
      <c r="B36" s="92">
        <f>B31*PI()*B30^4/32</f>
        <v>19174.759848570513</v>
      </c>
    </row>
    <row r="37" spans="1:11">
      <c r="A37" s="96" t="s">
        <v>323</v>
      </c>
      <c r="B37" s="92">
        <f>B35/B33</f>
        <v>39.062499999999993</v>
      </c>
      <c r="C37" s="92"/>
    </row>
    <row r="38" spans="1:11">
      <c r="A38" s="96" t="s">
        <v>336</v>
      </c>
      <c r="B38" s="92">
        <f>3*B24*B35/B29^3</f>
        <v>719.05349432139417</v>
      </c>
      <c r="C38" s="137"/>
    </row>
    <row r="39" spans="1:11" s="158" customFormat="1" ht="17" thickBot="1">
      <c r="A39" s="225" t="s">
        <v>342</v>
      </c>
      <c r="B39" s="226"/>
      <c r="C39" s="226"/>
      <c r="D39" s="226"/>
      <c r="E39" s="226"/>
      <c r="F39" s="226"/>
      <c r="G39" s="226"/>
      <c r="H39" s="226"/>
      <c r="I39" s="226"/>
      <c r="J39" s="226"/>
      <c r="K39" s="227"/>
    </row>
    <row r="40" spans="1:11" customFormat="1"/>
    <row r="41" spans="1:11" customFormat="1"/>
    <row r="42" spans="1:11" customFormat="1"/>
    <row r="43" spans="1:11" customFormat="1"/>
    <row r="44" spans="1:11" customFormat="1"/>
    <row r="45" spans="1:11" customFormat="1"/>
    <row r="46" spans="1:11" customFormat="1"/>
    <row r="47" spans="1:11" customFormat="1"/>
    <row r="48" spans="1:11"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46"/>
  <sheetViews>
    <sheetView zoomScale="150" zoomScaleNormal="150" zoomScalePageLayoutView="150" workbookViewId="0">
      <selection activeCell="D14" sqref="D14"/>
    </sheetView>
  </sheetViews>
  <sheetFormatPr baseColWidth="10" defaultColWidth="8.83203125" defaultRowHeight="16"/>
  <cols>
    <col min="1" max="1" width="48.1640625" customWidth="1"/>
    <col min="2" max="2" width="9.83203125" bestFit="1" customWidth="1"/>
    <col min="3" max="3" width="9.33203125" customWidth="1"/>
    <col min="4" max="4" width="9.6640625" customWidth="1"/>
    <col min="5" max="5" width="16.6640625" customWidth="1"/>
    <col min="6" max="6" width="10.1640625" bestFit="1" customWidth="1"/>
  </cols>
  <sheetData>
    <row r="2" spans="1:5">
      <c r="A2" t="s">
        <v>11</v>
      </c>
    </row>
    <row r="3" spans="1:5">
      <c r="A3" s="1" t="s">
        <v>12</v>
      </c>
      <c r="B3" t="s">
        <v>18</v>
      </c>
      <c r="C3" t="s">
        <v>19</v>
      </c>
      <c r="D3" t="s">
        <v>20</v>
      </c>
    </row>
    <row r="4" spans="1:5">
      <c r="A4" s="2" t="s">
        <v>13</v>
      </c>
      <c r="B4" t="s">
        <v>21</v>
      </c>
      <c r="C4" t="s">
        <v>24</v>
      </c>
      <c r="D4" s="1">
        <v>250</v>
      </c>
    </row>
    <row r="5" spans="1:5">
      <c r="A5" s="2" t="s">
        <v>14</v>
      </c>
      <c r="B5" t="s">
        <v>21</v>
      </c>
      <c r="C5" t="s">
        <v>25</v>
      </c>
      <c r="D5" s="1">
        <v>12.7</v>
      </c>
    </row>
    <row r="6" spans="1:5">
      <c r="A6" s="2" t="s">
        <v>17</v>
      </c>
      <c r="B6" t="s">
        <v>22</v>
      </c>
      <c r="C6" t="s">
        <v>26</v>
      </c>
      <c r="D6" s="19">
        <f>PI()*(R_OD^2-(R_OD-2*R_wall)^2)/4</f>
        <v>9467.8491960500978</v>
      </c>
    </row>
    <row r="7" spans="1:5">
      <c r="A7" s="2" t="s">
        <v>15</v>
      </c>
      <c r="B7" t="s">
        <v>23</v>
      </c>
      <c r="C7" t="s">
        <v>27</v>
      </c>
      <c r="D7" s="135">
        <f>PI()*(R_OD^4-(R_OD-2*R_wall)^4)/64</f>
        <v>66834233.893984355</v>
      </c>
    </row>
    <row r="8" spans="1:5">
      <c r="A8" s="2" t="s">
        <v>45</v>
      </c>
      <c r="B8" t="s">
        <v>23</v>
      </c>
      <c r="C8" t="s">
        <v>46</v>
      </c>
      <c r="D8" s="135">
        <f>PI()*(R_OD^4-(R_OD-2*R_wall)^4)/32</f>
        <v>133668467.78796871</v>
      </c>
    </row>
    <row r="9" spans="1:5">
      <c r="A9" s="1" t="s">
        <v>16</v>
      </c>
    </row>
    <row r="10" spans="1:5">
      <c r="A10" s="2" t="s">
        <v>13</v>
      </c>
      <c r="B10" t="s">
        <v>21</v>
      </c>
      <c r="C10" t="s">
        <v>28</v>
      </c>
      <c r="D10" s="1">
        <v>100</v>
      </c>
    </row>
    <row r="11" spans="1:5">
      <c r="A11" s="2" t="s">
        <v>14</v>
      </c>
      <c r="B11" t="s">
        <v>21</v>
      </c>
      <c r="C11" t="s">
        <v>29</v>
      </c>
      <c r="D11" s="1">
        <v>6</v>
      </c>
    </row>
    <row r="12" spans="1:5">
      <c r="A12" s="2" t="s">
        <v>17</v>
      </c>
      <c r="B12" t="s">
        <v>22</v>
      </c>
      <c r="C12" t="s">
        <v>30</v>
      </c>
      <c r="D12" s="19">
        <f>S_OD^2-(S_OD-2*S_wall)^2</f>
        <v>2256</v>
      </c>
    </row>
    <row r="13" spans="1:5">
      <c r="A13" s="2" t="s">
        <v>200</v>
      </c>
      <c r="B13" t="s">
        <v>23</v>
      </c>
      <c r="C13" t="s">
        <v>31</v>
      </c>
      <c r="D13" s="24">
        <f>(S_OD^4-(S_OD-2*S_wall)^4)/12</f>
        <v>3335872</v>
      </c>
    </row>
    <row r="14" spans="1:5">
      <c r="A14" s="2" t="s">
        <v>45</v>
      </c>
      <c r="B14" t="s">
        <v>23</v>
      </c>
      <c r="C14" t="s">
        <v>199</v>
      </c>
      <c r="D14" s="24">
        <f>4*((S_OD-S_wall)^2)^2*S_wall/(4*(S_OD-S_wall))</f>
        <v>4983504</v>
      </c>
      <c r="E14" s="14"/>
    </row>
    <row r="15" spans="1:5">
      <c r="A15" s="1" t="s">
        <v>203</v>
      </c>
      <c r="B15" t="s">
        <v>21</v>
      </c>
      <c r="C15" t="s">
        <v>207</v>
      </c>
      <c r="D15" s="8">
        <v>25</v>
      </c>
    </row>
    <row r="16" spans="1:5">
      <c r="A16" s="2" t="s">
        <v>204</v>
      </c>
      <c r="D16" s="8"/>
    </row>
    <row r="17" spans="1:6">
      <c r="A17" s="2" t="s">
        <v>205</v>
      </c>
      <c r="B17" t="s">
        <v>21</v>
      </c>
      <c r="C17" t="s">
        <v>208</v>
      </c>
      <c r="D17" s="8">
        <f>S_OD-lgrs</f>
        <v>75</v>
      </c>
      <c r="F17">
        <f>4*S_OD^4*S_wall/(4*(S_OD-S_wall))</f>
        <v>6382978.7234042557</v>
      </c>
    </row>
    <row r="18" spans="1:6">
      <c r="A18" s="2" t="s">
        <v>206</v>
      </c>
      <c r="B18" t="s">
        <v>21</v>
      </c>
      <c r="C18" t="s">
        <v>209</v>
      </c>
      <c r="D18" s="8">
        <f>R_OD+lgrs</f>
        <v>275</v>
      </c>
    </row>
    <row r="19" spans="1:6">
      <c r="A19" s="132" t="s">
        <v>211</v>
      </c>
      <c r="F19">
        <f>S_IP/F17</f>
        <v>0.78074895999999994</v>
      </c>
    </row>
    <row r="20" spans="1:6">
      <c r="A20" s="2" t="s">
        <v>202</v>
      </c>
      <c r="B20" s="88">
        <f>R_Area/S_Area</f>
        <v>4.1967416649158231</v>
      </c>
    </row>
    <row r="21" spans="1:6">
      <c r="A21" s="2" t="s">
        <v>201</v>
      </c>
      <c r="B21" s="88">
        <f>D7/S_I</f>
        <v>20.035011503434291</v>
      </c>
    </row>
    <row r="22" spans="1:6">
      <c r="A22" s="2" t="s">
        <v>47</v>
      </c>
      <c r="B22" s="88">
        <f>R_Ip/S_IP</f>
        <v>26.822185311373023</v>
      </c>
    </row>
    <row r="23" spans="1:6">
      <c r="A23" s="2" t="s">
        <v>210</v>
      </c>
      <c r="B23" s="8">
        <f>D18/lgst</f>
        <v>3.6666666666666665</v>
      </c>
    </row>
    <row r="30" spans="1:6">
      <c r="A30" s="2" t="s">
        <v>48</v>
      </c>
    </row>
    <row r="31" spans="1:6">
      <c r="A31" t="s">
        <v>12</v>
      </c>
      <c r="B31" t="s">
        <v>18</v>
      </c>
      <c r="C31" t="s">
        <v>20</v>
      </c>
    </row>
    <row r="32" spans="1:6">
      <c r="A32" s="2" t="s">
        <v>54</v>
      </c>
      <c r="B32" t="s">
        <v>55</v>
      </c>
      <c r="C32" s="17">
        <f>200000/3</f>
        <v>66666.666666666672</v>
      </c>
    </row>
    <row r="33" spans="1:5">
      <c r="A33" s="2" t="s">
        <v>13</v>
      </c>
      <c r="B33" t="s">
        <v>21</v>
      </c>
      <c r="C33" s="1">
        <v>500</v>
      </c>
    </row>
    <row r="34" spans="1:5">
      <c r="A34" s="2" t="s">
        <v>14</v>
      </c>
      <c r="B34" t="s">
        <v>21</v>
      </c>
      <c r="C34" s="1">
        <v>25</v>
      </c>
    </row>
    <row r="35" spans="1:5">
      <c r="A35" s="2" t="s">
        <v>17</v>
      </c>
      <c r="B35" t="s">
        <v>22</v>
      </c>
      <c r="C35" s="19">
        <f>PI()*(C33^2-(C33-2*C34)^2)/4</f>
        <v>37306.412761378793</v>
      </c>
    </row>
    <row r="36" spans="1:5">
      <c r="A36" s="2" t="s">
        <v>200</v>
      </c>
      <c r="B36" t="s">
        <v>23</v>
      </c>
      <c r="C36" s="14">
        <f>PI()*(C33^4-(C33-2*C34)^4)/64</f>
        <v>1055071985.9077441</v>
      </c>
    </row>
    <row r="37" spans="1:5">
      <c r="A37" s="2" t="s">
        <v>45</v>
      </c>
      <c r="B37" t="s">
        <v>23</v>
      </c>
      <c r="C37" s="14">
        <f>PI()*(C33^4-(C33-2*C34)^4)/32</f>
        <v>2110143971.8154881</v>
      </c>
    </row>
    <row r="38" spans="1:5">
      <c r="A38" s="2" t="s">
        <v>49</v>
      </c>
      <c r="B38" t="s">
        <v>21</v>
      </c>
      <c r="C38">
        <v>1800</v>
      </c>
    </row>
    <row r="39" spans="1:5">
      <c r="A39" s="2" t="s">
        <v>50</v>
      </c>
      <c r="B39" t="s">
        <v>21</v>
      </c>
    </row>
    <row r="40" spans="1:5">
      <c r="A40" s="2" t="s">
        <v>51</v>
      </c>
      <c r="B40" t="s">
        <v>21</v>
      </c>
      <c r="C40">
        <v>200</v>
      </c>
      <c r="E40" s="23"/>
    </row>
    <row r="41" spans="1:5">
      <c r="A41" s="2" t="s">
        <v>62</v>
      </c>
      <c r="B41" t="s">
        <v>21</v>
      </c>
      <c r="C41">
        <f>C40+C39</f>
        <v>200</v>
      </c>
    </row>
    <row r="42" spans="1:5">
      <c r="A42" s="2" t="s">
        <v>52</v>
      </c>
      <c r="B42" t="s">
        <v>53</v>
      </c>
      <c r="C42" s="24">
        <f>(C32/3)*C37*(1/(C40+C39)+1/(C38-C39-C40))</f>
        <v>263767996476.93604</v>
      </c>
    </row>
    <row r="43" spans="1:5">
      <c r="A43" s="2" t="s">
        <v>56</v>
      </c>
      <c r="B43" t="s">
        <v>36</v>
      </c>
      <c r="C43" s="18">
        <f>C35*C32*(1/(C40+C39)+1/(C38-C39-C40))</f>
        <v>13989904.785517048</v>
      </c>
      <c r="D43" t="s">
        <v>59</v>
      </c>
    </row>
    <row r="44" spans="1:5">
      <c r="A44" s="2" t="s">
        <v>57</v>
      </c>
      <c r="B44" t="s">
        <v>36</v>
      </c>
      <c r="C44" s="15">
        <f>6*C38*C32*C36/(  (C41-C38)*(C41^3-C38^3+(C38-C41)^3)   )</f>
        <v>274758.32966347499</v>
      </c>
      <c r="D44" t="s">
        <v>60</v>
      </c>
    </row>
    <row r="45" spans="1:5">
      <c r="A45" s="2" t="s">
        <v>58</v>
      </c>
      <c r="B45" t="s">
        <v>36</v>
      </c>
      <c r="C45" s="15">
        <f>C44</f>
        <v>274758.32966347499</v>
      </c>
      <c r="D45" t="s">
        <v>60</v>
      </c>
    </row>
    <row r="46" spans="1:5">
      <c r="A46" s="2" t="s">
        <v>61</v>
      </c>
      <c r="B46" t="s">
        <v>53</v>
      </c>
      <c r="C46" s="15">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21"/>
  <sheetViews>
    <sheetView workbookViewId="0">
      <selection activeCell="S27" sqref="S27"/>
    </sheetView>
  </sheetViews>
  <sheetFormatPr baseColWidth="10" defaultColWidth="8.83203125" defaultRowHeight="16"/>
  <cols>
    <col min="1" max="1" width="15.6640625" customWidth="1"/>
  </cols>
  <sheetData>
    <row r="2" spans="1:2">
      <c r="A2" t="s">
        <v>10</v>
      </c>
    </row>
    <row r="3" spans="1:2">
      <c r="A3" t="s">
        <v>37</v>
      </c>
    </row>
    <row r="4" spans="1:2">
      <c r="A4" t="s">
        <v>38</v>
      </c>
      <c r="B4">
        <v>12</v>
      </c>
    </row>
    <row r="5" spans="1:2">
      <c r="A5" t="s">
        <v>39</v>
      </c>
      <c r="B5" s="16">
        <v>200000</v>
      </c>
    </row>
    <row r="6" spans="1:2">
      <c r="A6" t="s">
        <v>40</v>
      </c>
      <c r="B6">
        <v>400</v>
      </c>
    </row>
    <row r="7" spans="1:2">
      <c r="A7" t="s">
        <v>41</v>
      </c>
      <c r="B7" s="20">
        <f>B5*PI()*B4^2/4/B6</f>
        <v>56548.667764616272</v>
      </c>
    </row>
    <row r="9" spans="1:2">
      <c r="A9" t="s">
        <v>9</v>
      </c>
    </row>
    <row r="10" spans="1:2">
      <c r="A10" t="s">
        <v>37</v>
      </c>
    </row>
    <row r="11" spans="1:2">
      <c r="A11" t="s">
        <v>38</v>
      </c>
      <c r="B11">
        <v>15</v>
      </c>
    </row>
    <row r="12" spans="1:2">
      <c r="A12" t="s">
        <v>39</v>
      </c>
      <c r="B12" s="16">
        <v>200000</v>
      </c>
    </row>
    <row r="13" spans="1:2">
      <c r="A13" t="s">
        <v>40</v>
      </c>
      <c r="B13">
        <v>750</v>
      </c>
    </row>
    <row r="14" spans="1:2">
      <c r="A14" t="s">
        <v>41</v>
      </c>
      <c r="B14" s="20">
        <f>B12*PI()*B11^2/4/B13</f>
        <v>47123.889803846898</v>
      </c>
    </row>
    <row r="16" spans="1:2">
      <c r="A16" t="s">
        <v>9</v>
      </c>
    </row>
    <row r="17" spans="1:2">
      <c r="A17" t="s">
        <v>37</v>
      </c>
    </row>
    <row r="18" spans="1:2">
      <c r="A18" t="s">
        <v>38</v>
      </c>
      <c r="B18">
        <v>20</v>
      </c>
    </row>
    <row r="19" spans="1:2">
      <c r="A19" t="s">
        <v>39</v>
      </c>
      <c r="B19" s="16">
        <v>200000</v>
      </c>
    </row>
    <row r="20" spans="1:2">
      <c r="A20" t="s">
        <v>40</v>
      </c>
      <c r="B20">
        <v>1500</v>
      </c>
    </row>
    <row r="21" spans="1:2">
      <c r="A21" t="s">
        <v>41</v>
      </c>
      <c r="B21" s="20">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17"/>
  <sheetViews>
    <sheetView topLeftCell="A3" workbookViewId="0">
      <selection activeCell="B4" sqref="B4"/>
    </sheetView>
  </sheetViews>
  <sheetFormatPr baseColWidth="10" defaultColWidth="11.1640625" defaultRowHeight="16"/>
  <cols>
    <col min="1" max="1" width="31.6640625" customWidth="1"/>
  </cols>
  <sheetData>
    <row r="2" spans="1:2">
      <c r="A2" s="91"/>
      <c r="B2" s="91"/>
    </row>
    <row r="3" spans="1:2">
      <c r="A3" s="91" t="s">
        <v>225</v>
      </c>
      <c r="B3" s="91"/>
    </row>
    <row r="4" spans="1:2">
      <c r="A4" s="94" t="s">
        <v>215</v>
      </c>
      <c r="B4" s="80">
        <v>100</v>
      </c>
    </row>
    <row r="5" spans="1:2">
      <c r="A5" s="94" t="s">
        <v>216</v>
      </c>
      <c r="B5" s="80">
        <v>15</v>
      </c>
    </row>
    <row r="6" spans="1:2">
      <c r="A6" s="94" t="s">
        <v>222</v>
      </c>
      <c r="B6" s="92">
        <f>PI()*(B4^4-(B4-2*B5)^4)/64</f>
        <v>3730150.4022857561</v>
      </c>
    </row>
    <row r="7" spans="1:2">
      <c r="A7" s="94" t="s">
        <v>223</v>
      </c>
      <c r="B7" s="92">
        <f>PI()*(B4^4-(B4-2*B5)^4)/32</f>
        <v>7460300.8045715122</v>
      </c>
    </row>
    <row r="8" spans="1:2">
      <c r="A8" s="94" t="s">
        <v>221</v>
      </c>
      <c r="B8" s="81">
        <f>'CSs and Loads'!C13</f>
        <v>0</v>
      </c>
    </row>
    <row r="9" spans="1:2">
      <c r="A9" s="94" t="s">
        <v>220</v>
      </c>
      <c r="B9" s="93">
        <v>70000</v>
      </c>
    </row>
    <row r="10" spans="1:2">
      <c r="A10" s="91" t="s">
        <v>224</v>
      </c>
      <c r="B10" s="80"/>
    </row>
    <row r="11" spans="1:2">
      <c r="A11" s="94" t="s">
        <v>219</v>
      </c>
      <c r="B11" s="93" t="e">
        <f>B7*B9/B8</f>
        <v>#DIV/0!</v>
      </c>
    </row>
    <row r="12" spans="1:2">
      <c r="A12" s="94" t="s">
        <v>217</v>
      </c>
      <c r="B12" s="93" t="e">
        <f>2*B9*B6/B8</f>
        <v>#DIV/0!</v>
      </c>
    </row>
    <row r="13" spans="1:2">
      <c r="A13" s="94" t="s">
        <v>218</v>
      </c>
      <c r="B13" s="93" t="e">
        <f>B16</f>
        <v>#DIV/0!</v>
      </c>
    </row>
    <row r="14" spans="1:2">
      <c r="A14" s="91" t="s">
        <v>226</v>
      </c>
      <c r="B14" s="80"/>
    </row>
    <row r="15" spans="1:2">
      <c r="A15" s="94" t="s">
        <v>227</v>
      </c>
      <c r="B15" s="93" t="e">
        <f>1/B11</f>
        <v>#DIV/0!</v>
      </c>
    </row>
    <row r="16" spans="1:2">
      <c r="A16" s="94" t="s">
        <v>228</v>
      </c>
      <c r="B16" s="93" t="e">
        <f t="shared" ref="B16:B17" si="0">1/B12</f>
        <v>#DIV/0!</v>
      </c>
    </row>
    <row r="17" spans="1:2">
      <c r="A17" s="94" t="s">
        <v>229</v>
      </c>
      <c r="B17" s="93" t="e">
        <f t="shared" si="0"/>
        <v>#DIV/0!</v>
      </c>
    </row>
  </sheetData>
  <pageMargins left="0.75" right="0.75" top="1" bottom="1" header="0.5" footer="0.5"/>
  <pageSetup orientation="portrait"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N23" sqref="N23"/>
    </sheetView>
  </sheetViews>
  <sheetFormatPr baseColWidth="10" defaultColWidth="11" defaultRowHeight="16"/>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M38" sqref="M38"/>
    </sheetView>
  </sheetViews>
  <sheetFormatPr baseColWidth="10" defaultColWidth="11" defaultRowHeight="16"/>
  <cols>
    <col min="1" max="1" width="19.3320312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366"/>
  <sheetViews>
    <sheetView topLeftCell="R6" zoomScale="235" zoomScaleNormal="235" zoomScalePageLayoutView="200" workbookViewId="0">
      <selection activeCell="A17" sqref="A17"/>
    </sheetView>
  </sheetViews>
  <sheetFormatPr baseColWidth="10" defaultColWidth="11" defaultRowHeight="16"/>
  <cols>
    <col min="2" max="2" width="52.83203125" customWidth="1"/>
    <col min="3" max="4" width="12.1640625" bestFit="1" customWidth="1"/>
    <col min="5" max="5" width="16" customWidth="1"/>
    <col min="6" max="6" width="22.33203125" customWidth="1"/>
    <col min="7" max="7" width="15.5" customWidth="1"/>
    <col min="8" max="8" width="16.83203125" customWidth="1"/>
    <col min="9" max="9" width="14.5" customWidth="1"/>
    <col min="10" max="10" width="11" customWidth="1"/>
    <col min="11" max="11" width="16" customWidth="1"/>
    <col min="12" max="12" width="23.6640625" customWidth="1"/>
    <col min="13" max="13" width="15.33203125" customWidth="1"/>
    <col min="14" max="14" width="11" customWidth="1"/>
    <col min="15" max="15" width="15" customWidth="1"/>
    <col min="16" max="16" width="12.6640625" bestFit="1" customWidth="1"/>
    <col min="17" max="17" width="13.33203125" customWidth="1"/>
    <col min="18" max="18" width="11" customWidth="1"/>
    <col min="19" max="19" width="13.33203125" customWidth="1"/>
    <col min="20" max="20" width="13.83203125" customWidth="1"/>
    <col min="21" max="21" width="12.1640625" bestFit="1" customWidth="1"/>
    <col min="22" max="22" width="12.6640625" bestFit="1" customWidth="1"/>
    <col min="24" max="24" width="15.6640625" customWidth="1"/>
    <col min="28" max="28" width="11.1640625" bestFit="1" customWidth="1"/>
    <col min="31" max="31" width="13.5" customWidth="1"/>
    <col min="33" max="33" width="12.33203125" bestFit="1" customWidth="1"/>
    <col min="34" max="34" width="11.5" bestFit="1" customWidth="1"/>
    <col min="35" max="35" width="11" bestFit="1" customWidth="1"/>
    <col min="36" max="36" width="13.33203125" customWidth="1"/>
    <col min="41" max="41" width="13.5" bestFit="1" customWidth="1"/>
    <col min="47" max="47" width="14.1640625" customWidth="1"/>
    <col min="49" max="49" width="15.33203125" customWidth="1"/>
    <col min="52" max="52" width="14.1640625" customWidth="1"/>
    <col min="54" max="54" width="16.6640625" customWidth="1"/>
    <col min="57" max="57" width="18.83203125" customWidth="1"/>
    <col min="59" max="59" width="16.83203125" customWidth="1"/>
  </cols>
  <sheetData>
    <row r="1" spans="1:28">
      <c r="A1" s="336" t="s">
        <v>150</v>
      </c>
      <c r="B1" s="336"/>
      <c r="C1" s="336"/>
      <c r="D1" s="336"/>
      <c r="E1" s="336"/>
      <c r="F1" s="336"/>
      <c r="G1" s="336"/>
    </row>
    <row r="2" spans="1:28" ht="15" customHeight="1">
      <c r="A2" s="336" t="s">
        <v>167</v>
      </c>
      <c r="B2" s="336"/>
      <c r="C2" s="336"/>
      <c r="D2" s="336"/>
      <c r="E2" s="336"/>
      <c r="F2" s="336"/>
      <c r="G2" s="336"/>
      <c r="H2" s="37"/>
    </row>
    <row r="3" spans="1:28" ht="15" customHeight="1">
      <c r="A3" s="336" t="s">
        <v>154</v>
      </c>
      <c r="B3" s="336"/>
      <c r="C3" s="336"/>
      <c r="D3" s="336"/>
      <c r="E3" s="336"/>
      <c r="F3" s="336"/>
      <c r="G3" s="336"/>
      <c r="H3" s="37"/>
    </row>
    <row r="4" spans="1:28" ht="15" customHeight="1">
      <c r="A4" s="338" t="s">
        <v>156</v>
      </c>
      <c r="B4" s="338"/>
      <c r="C4" s="315" t="s">
        <v>439</v>
      </c>
      <c r="D4" s="1"/>
      <c r="E4" s="37"/>
      <c r="F4" s="37"/>
      <c r="G4" s="37"/>
      <c r="H4" s="37"/>
    </row>
    <row r="5" spans="1:28" ht="15" customHeight="1">
      <c r="A5" s="338" t="s">
        <v>157</v>
      </c>
      <c r="B5" s="338"/>
      <c r="C5" s="42" t="s">
        <v>158</v>
      </c>
      <c r="E5" s="37"/>
      <c r="F5" s="37"/>
      <c r="G5" s="37"/>
      <c r="H5" s="37"/>
    </row>
    <row r="6" spans="1:28" ht="15" customHeight="1">
      <c r="A6" s="33" t="s">
        <v>161</v>
      </c>
      <c r="B6" s="33"/>
      <c r="C6" s="10"/>
      <c r="E6" s="37"/>
      <c r="F6" s="37"/>
      <c r="G6" s="37"/>
      <c r="H6" s="37"/>
    </row>
    <row r="7" spans="1:28" ht="15" customHeight="1">
      <c r="A7" s="33" t="s">
        <v>161</v>
      </c>
      <c r="B7" s="33"/>
      <c r="C7" s="10"/>
      <c r="E7" s="37"/>
      <c r="F7" s="37"/>
      <c r="G7" s="37"/>
      <c r="H7" s="37"/>
    </row>
    <row r="8" spans="1:28" ht="15" customHeight="1">
      <c r="B8" s="37"/>
      <c r="C8" s="37"/>
      <c r="D8" s="37"/>
      <c r="E8" s="37"/>
      <c r="F8" s="37"/>
      <c r="G8" s="37"/>
      <c r="H8" s="37"/>
    </row>
    <row r="10" spans="1:28">
      <c r="A10" s="344" t="s">
        <v>171</v>
      </c>
      <c r="B10" s="344"/>
      <c r="C10" s="35">
        <v>4</v>
      </c>
      <c r="D10" s="345" t="s">
        <v>166</v>
      </c>
      <c r="E10" s="345"/>
      <c r="F10" s="345"/>
      <c r="G10" s="345"/>
      <c r="H10" s="345"/>
    </row>
    <row r="11" spans="1:28" s="50" customFormat="1" ht="17" thickBot="1">
      <c r="A11" s="57"/>
      <c r="B11" s="50" t="s">
        <v>172</v>
      </c>
    </row>
    <row r="12" spans="1:28" ht="15" customHeight="1">
      <c r="A12" s="348" t="s">
        <v>307</v>
      </c>
      <c r="B12" s="66" t="s">
        <v>235</v>
      </c>
      <c r="E12" s="1" t="s">
        <v>132</v>
      </c>
    </row>
    <row r="13" spans="1:28">
      <c r="A13" s="348"/>
      <c r="B13" s="12" t="s">
        <v>73</v>
      </c>
      <c r="C13" s="320">
        <f>Summary!K14</f>
        <v>0</v>
      </c>
      <c r="E13" s="336" t="s">
        <v>130</v>
      </c>
      <c r="F13" s="336"/>
      <c r="G13" s="336" t="s">
        <v>131</v>
      </c>
      <c r="H13" s="336"/>
      <c r="N13" s="33" t="s">
        <v>93</v>
      </c>
      <c r="O13" s="1"/>
      <c r="P13" s="65"/>
      <c r="Q13" s="1"/>
      <c r="R13" s="1"/>
      <c r="S13" s="33" t="s">
        <v>128</v>
      </c>
      <c r="Y13" s="33" t="s">
        <v>283</v>
      </c>
    </row>
    <row r="14" spans="1:28">
      <c r="A14" s="348"/>
      <c r="B14" s="12" t="s">
        <v>74</v>
      </c>
      <c r="C14" s="320">
        <f>Summary!L14</f>
        <v>0</v>
      </c>
      <c r="E14" s="44" t="s">
        <v>79</v>
      </c>
      <c r="F14" s="46">
        <f>CS_1!B45</f>
        <v>5.0000000000000001E-3</v>
      </c>
      <c r="G14" s="44" t="s">
        <v>79</v>
      </c>
      <c r="H14" s="46">
        <f>CS_1!B52</f>
        <v>0.05</v>
      </c>
      <c r="O14" t="s">
        <v>83</v>
      </c>
      <c r="P14" s="7" t="s">
        <v>84</v>
      </c>
      <c r="Q14" s="25" t="s">
        <v>85</v>
      </c>
      <c r="R14" s="25" t="s">
        <v>86</v>
      </c>
      <c r="T14" t="s">
        <v>83</v>
      </c>
      <c r="U14" s="7" t="s">
        <v>84</v>
      </c>
      <c r="V14" s="25" t="s">
        <v>85</v>
      </c>
      <c r="W14" s="25" t="s">
        <v>86</v>
      </c>
      <c r="Y14" t="s">
        <v>83</v>
      </c>
      <c r="Z14" s="7" t="s">
        <v>84</v>
      </c>
      <c r="AA14" s="25" t="s">
        <v>85</v>
      </c>
      <c r="AB14" s="25" t="s">
        <v>86</v>
      </c>
    </row>
    <row r="15" spans="1:28">
      <c r="A15" s="348"/>
      <c r="B15" s="12" t="s">
        <v>75</v>
      </c>
      <c r="C15" s="321">
        <f>Summary!M14</f>
        <v>-200</v>
      </c>
      <c r="E15" s="44" t="s">
        <v>106</v>
      </c>
      <c r="F15" s="46">
        <f>CS_1!B46</f>
        <v>5.0000000000000001E-3</v>
      </c>
      <c r="G15" s="44" t="s">
        <v>106</v>
      </c>
      <c r="H15" s="46">
        <f>CS_1!B53</f>
        <v>0.05</v>
      </c>
      <c r="N15" s="44" t="s">
        <v>79</v>
      </c>
      <c r="O15" s="48">
        <f>ABS(F14)</f>
        <v>5.0000000000000001E-3</v>
      </c>
      <c r="P15" s="48">
        <f>ABS(F17*O29)</f>
        <v>0</v>
      </c>
      <c r="Q15" s="48">
        <f>ABS(F18*P29)</f>
        <v>4.9999999479166668E-3</v>
      </c>
      <c r="R15" s="48">
        <f>ABS(F19*Q29)</f>
        <v>0</v>
      </c>
      <c r="S15" s="44" t="s">
        <v>79</v>
      </c>
      <c r="T15" s="47">
        <f t="array" ref="T15:W18">ABS(MMULT(T33:W36,O15:R18))</f>
        <v>5.0000000000000001E-3</v>
      </c>
      <c r="U15" s="47">
        <v>0</v>
      </c>
      <c r="V15" s="47">
        <v>4.9999999479166668E-3</v>
      </c>
      <c r="W15" s="47">
        <v>0</v>
      </c>
      <c r="X15" s="68" t="s">
        <v>79</v>
      </c>
      <c r="Y15" s="47">
        <f>F21+F28</f>
        <v>0</v>
      </c>
      <c r="Z15" s="28">
        <f>F24*O29</f>
        <v>0</v>
      </c>
      <c r="AA15" s="28">
        <f>F25*P29</f>
        <v>0</v>
      </c>
      <c r="AB15" s="28">
        <f>F26*Q29</f>
        <v>0</v>
      </c>
    </row>
    <row r="16" spans="1:28" ht="15" customHeight="1">
      <c r="A16" s="58">
        <v>1</v>
      </c>
      <c r="B16" s="1" t="s">
        <v>76</v>
      </c>
      <c r="C16" s="301"/>
      <c r="E16" s="44" t="s">
        <v>107</v>
      </c>
      <c r="F16" s="46">
        <f>CS_1!B47</f>
        <v>5.0000000000000001E-3</v>
      </c>
      <c r="G16" s="44" t="s">
        <v>107</v>
      </c>
      <c r="H16" s="46">
        <f>CS_1!B54</f>
        <v>0.05</v>
      </c>
      <c r="N16" s="44" t="s">
        <v>106</v>
      </c>
      <c r="O16" s="48">
        <f t="shared" ref="O16:O17" si="0">ABS(F15)</f>
        <v>5.0000000000000001E-3</v>
      </c>
      <c r="P16" s="48">
        <f>ABS(F17*O30)</f>
        <v>4.9999999479166668E-3</v>
      </c>
      <c r="Q16" s="48">
        <f>ABS(F18*P30)</f>
        <v>0</v>
      </c>
      <c r="R16" s="48">
        <f>ABS(F19*Q30)</f>
        <v>0</v>
      </c>
      <c r="S16" s="44" t="s">
        <v>106</v>
      </c>
      <c r="T16" s="47">
        <v>5.0000000000000001E-3</v>
      </c>
      <c r="U16" s="47">
        <v>4.9999999479166668E-3</v>
      </c>
      <c r="V16" s="47">
        <v>0</v>
      </c>
      <c r="W16" s="47">
        <v>0</v>
      </c>
      <c r="X16" s="68" t="s">
        <v>106</v>
      </c>
      <c r="Y16" s="47">
        <f t="shared" ref="Y16:Y17" si="1">F22+F29</f>
        <v>0</v>
      </c>
      <c r="Z16" s="28">
        <f>F24*O30</f>
        <v>0</v>
      </c>
      <c r="AA16" s="28">
        <f>F25*P30</f>
        <v>0</v>
      </c>
      <c r="AB16" s="28">
        <f>F26*Q30</f>
        <v>0</v>
      </c>
    </row>
    <row r="17" spans="1:59" ht="15" customHeight="1">
      <c r="A17" s="41">
        <f>IF(A16&gt;Naxes,0,1)</f>
        <v>1</v>
      </c>
      <c r="B17" s="2" t="s">
        <v>168</v>
      </c>
      <c r="C17" s="35">
        <v>0</v>
      </c>
      <c r="E17" s="4" t="s">
        <v>80</v>
      </c>
      <c r="F17" s="46">
        <f>CS_1!B48</f>
        <v>2.5000000000000001E-5</v>
      </c>
      <c r="G17" s="4" t="s">
        <v>80</v>
      </c>
      <c r="H17" s="46">
        <f>CS_1!B55</f>
        <v>2.5000000000000001E-4</v>
      </c>
      <c r="N17" s="44" t="s">
        <v>107</v>
      </c>
      <c r="O17" s="48">
        <f t="shared" si="0"/>
        <v>5.0000000000000001E-3</v>
      </c>
      <c r="P17" s="48">
        <f>ABS(F17*O31)</f>
        <v>6.2499999557985581E-7</v>
      </c>
      <c r="Q17" s="48">
        <f>ABS(F18*P31)</f>
        <v>6.2499999557985581E-7</v>
      </c>
      <c r="R17" s="48">
        <f>ABS(F19*Q31)</f>
        <v>0</v>
      </c>
      <c r="S17" s="44" t="s">
        <v>107</v>
      </c>
      <c r="T17" s="47">
        <v>5.0000000000000001E-3</v>
      </c>
      <c r="U17" s="47">
        <v>6.2499999557985581E-7</v>
      </c>
      <c r="V17" s="47">
        <v>6.2499999557985581E-7</v>
      </c>
      <c r="W17" s="47">
        <v>0</v>
      </c>
      <c r="X17" s="68" t="s">
        <v>107</v>
      </c>
      <c r="Y17" s="47">
        <f t="shared" si="1"/>
        <v>-4.6460200954459769E-4</v>
      </c>
      <c r="Z17" s="28">
        <f>F24*O31</f>
        <v>0</v>
      </c>
      <c r="AA17" s="28">
        <f>F25*P31</f>
        <v>0</v>
      </c>
      <c r="AB17" s="28">
        <f>F26*Q31</f>
        <v>0</v>
      </c>
    </row>
    <row r="18" spans="1:59" ht="15" customHeight="1">
      <c r="A18" s="346" t="s">
        <v>121</v>
      </c>
      <c r="B18" s="2" t="s">
        <v>170</v>
      </c>
      <c r="C18" s="35">
        <v>0</v>
      </c>
      <c r="E18" s="4" t="s">
        <v>81</v>
      </c>
      <c r="F18" s="46">
        <f>CS_1!B49</f>
        <v>2.5000000000000001E-5</v>
      </c>
      <c r="G18" s="4" t="s">
        <v>81</v>
      </c>
      <c r="H18" s="46">
        <f>CS_1!B56</f>
        <v>2.5000000000000001E-4</v>
      </c>
      <c r="N18" s="6" t="s">
        <v>102</v>
      </c>
      <c r="O18" s="28">
        <v>1</v>
      </c>
      <c r="P18" s="28">
        <v>1</v>
      </c>
      <c r="Q18" s="28">
        <v>1</v>
      </c>
      <c r="R18" s="28">
        <v>1</v>
      </c>
      <c r="S18" s="6" t="s">
        <v>102</v>
      </c>
      <c r="T18" s="47">
        <v>1</v>
      </c>
      <c r="U18" s="47">
        <v>1</v>
      </c>
      <c r="V18" s="47">
        <v>1</v>
      </c>
      <c r="W18" s="47">
        <v>1</v>
      </c>
      <c r="X18" s="6" t="s">
        <v>102</v>
      </c>
      <c r="Y18" s="28">
        <v>1</v>
      </c>
      <c r="Z18" s="28">
        <v>1</v>
      </c>
      <c r="AA18" s="28">
        <v>1</v>
      </c>
      <c r="AB18" s="28">
        <v>1</v>
      </c>
      <c r="AE18" s="76">
        <v>1</v>
      </c>
      <c r="AF18" s="47">
        <v>0</v>
      </c>
      <c r="AG18" s="47">
        <v>0</v>
      </c>
      <c r="AH18" s="77">
        <v>0</v>
      </c>
      <c r="AJ18" s="47">
        <v>0.99999950000004167</v>
      </c>
      <c r="AK18" s="47">
        <v>0</v>
      </c>
      <c r="AL18" s="47">
        <v>9.999998333333419E-4</v>
      </c>
      <c r="AM18" s="47">
        <v>0</v>
      </c>
      <c r="AO18" s="47">
        <v>0.99999950000004167</v>
      </c>
      <c r="AP18" s="47">
        <v>-9.999998333333419E-4</v>
      </c>
      <c r="AQ18" s="47">
        <v>0</v>
      </c>
      <c r="AR18" s="47">
        <v>0</v>
      </c>
    </row>
    <row r="19" spans="1:59" ht="15" customHeight="1">
      <c r="A19" s="346"/>
      <c r="B19" s="2" t="s">
        <v>169</v>
      </c>
      <c r="C19" s="35">
        <v>0</v>
      </c>
      <c r="E19" s="4" t="s">
        <v>82</v>
      </c>
      <c r="F19" s="46">
        <f>CS_1!B50</f>
        <v>2.5000000000000001E-5</v>
      </c>
      <c r="G19" s="4" t="s">
        <v>82</v>
      </c>
      <c r="H19" s="46">
        <f>CS_1!B57</f>
        <v>2.5000000000000001E-4</v>
      </c>
      <c r="X19" s="6"/>
      <c r="AE19" s="76">
        <v>0</v>
      </c>
      <c r="AF19" s="47">
        <v>0.99999950000004167</v>
      </c>
      <c r="AG19" s="47">
        <v>-9.999998333333419E-4</v>
      </c>
      <c r="AH19" s="77">
        <v>0</v>
      </c>
      <c r="AJ19" s="47">
        <v>0</v>
      </c>
      <c r="AK19" s="47">
        <v>0.99999950000004167</v>
      </c>
      <c r="AL19" s="47">
        <v>0</v>
      </c>
      <c r="AM19" s="47">
        <v>0</v>
      </c>
      <c r="AO19" s="47">
        <v>9.999998333333419E-4</v>
      </c>
      <c r="AP19" s="47">
        <v>0.99999950000004201</v>
      </c>
      <c r="AQ19" s="47">
        <v>0</v>
      </c>
      <c r="AR19" s="47">
        <v>0</v>
      </c>
    </row>
    <row r="20" spans="1:59" ht="30" customHeight="1">
      <c r="A20" s="346"/>
      <c r="B20" s="2" t="s">
        <v>402</v>
      </c>
      <c r="C20" s="322">
        <f>Summary!K15</f>
        <v>-100</v>
      </c>
      <c r="D20" s="357" t="s">
        <v>408</v>
      </c>
      <c r="E20" s="347" t="s">
        <v>289</v>
      </c>
      <c r="F20" s="347"/>
      <c r="G20" s="336" t="s">
        <v>237</v>
      </c>
      <c r="H20" s="336"/>
      <c r="I20" s="347" t="s">
        <v>292</v>
      </c>
      <c r="J20" s="347"/>
      <c r="K20" s="347" t="s">
        <v>290</v>
      </c>
      <c r="L20" s="347"/>
      <c r="M20" s="65"/>
      <c r="N20" s="33" t="s">
        <v>94</v>
      </c>
      <c r="O20" s="1"/>
      <c r="P20" s="65"/>
      <c r="Q20" s="1"/>
      <c r="R20" s="1"/>
      <c r="S20" s="33" t="s">
        <v>129</v>
      </c>
      <c r="X20" s="6"/>
      <c r="Y20" s="33" t="s">
        <v>282</v>
      </c>
      <c r="AE20" s="76">
        <v>0</v>
      </c>
      <c r="AF20" s="47">
        <v>9.999998333333419E-4</v>
      </c>
      <c r="AG20" s="47">
        <v>0.99999950000004167</v>
      </c>
      <c r="AH20" s="77">
        <v>0</v>
      </c>
      <c r="AJ20" s="47">
        <v>-9.999998333333419E-4</v>
      </c>
      <c r="AK20" s="47">
        <v>0</v>
      </c>
      <c r="AL20" s="47">
        <v>1</v>
      </c>
      <c r="AM20" s="47">
        <v>0</v>
      </c>
      <c r="AO20" s="47">
        <v>0</v>
      </c>
      <c r="AP20" s="47">
        <v>0</v>
      </c>
      <c r="AQ20" s="47">
        <v>1</v>
      </c>
      <c r="AR20" s="47">
        <v>0</v>
      </c>
    </row>
    <row r="21" spans="1:59" ht="15" customHeight="1">
      <c r="A21" s="346"/>
      <c r="B21" s="2" t="s">
        <v>403</v>
      </c>
      <c r="C21" s="323">
        <f>Summary!L15</f>
        <v>0</v>
      </c>
      <c r="D21" s="358"/>
      <c r="E21" s="44" t="s">
        <v>79</v>
      </c>
      <c r="F21" s="47">
        <f>E37/IF(H21=0,1000000000000,H21)</f>
        <v>0</v>
      </c>
      <c r="G21" s="4" t="s">
        <v>111</v>
      </c>
      <c r="H21" s="106">
        <f>CS_1!B25</f>
        <v>2528400.0000000005</v>
      </c>
      <c r="I21" s="4" t="s">
        <v>80</v>
      </c>
      <c r="J21" s="47">
        <f>A50*F64</f>
        <v>0</v>
      </c>
      <c r="K21" s="4" t="s">
        <v>80</v>
      </c>
      <c r="L21" s="131">
        <f t="array" ref="L21:L24">MMULT(MINVERSE(O33:R36),J21:J24)</f>
        <v>0</v>
      </c>
      <c r="O21" t="s">
        <v>83</v>
      </c>
      <c r="P21" s="7" t="s">
        <v>84</v>
      </c>
      <c r="Q21" s="25" t="s">
        <v>85</v>
      </c>
      <c r="R21" s="25" t="s">
        <v>86</v>
      </c>
      <c r="T21" t="s">
        <v>83</v>
      </c>
      <c r="U21" s="7" t="s">
        <v>84</v>
      </c>
      <c r="V21" s="25" t="s">
        <v>85</v>
      </c>
      <c r="W21" s="25" t="s">
        <v>86</v>
      </c>
      <c r="X21" s="6"/>
      <c r="Y21" t="s">
        <v>83</v>
      </c>
      <c r="Z21" s="7" t="s">
        <v>84</v>
      </c>
      <c r="AA21" s="25" t="s">
        <v>85</v>
      </c>
      <c r="AB21" s="25" t="s">
        <v>86</v>
      </c>
      <c r="AE21" s="76">
        <v>0</v>
      </c>
      <c r="AF21" s="47">
        <v>0</v>
      </c>
      <c r="AG21" s="47">
        <v>0</v>
      </c>
      <c r="AH21" s="77">
        <v>1</v>
      </c>
      <c r="AJ21" s="47">
        <v>0</v>
      </c>
      <c r="AK21" s="47">
        <v>0</v>
      </c>
      <c r="AL21" s="47">
        <v>0</v>
      </c>
      <c r="AM21" s="47">
        <v>1</v>
      </c>
      <c r="AO21" s="47">
        <v>0</v>
      </c>
      <c r="AP21" s="47">
        <v>0</v>
      </c>
      <c r="AQ21" s="47">
        <v>0</v>
      </c>
      <c r="AR21" s="47">
        <v>1</v>
      </c>
    </row>
    <row r="22" spans="1:59" ht="15" customHeight="1">
      <c r="A22" s="359" t="s">
        <v>424</v>
      </c>
      <c r="B22" s="2" t="s">
        <v>404</v>
      </c>
      <c r="C22" s="322">
        <f>Summary!M15</f>
        <v>0</v>
      </c>
      <c r="D22" s="358"/>
      <c r="E22" s="44" t="s">
        <v>106</v>
      </c>
      <c r="F22" s="47">
        <f t="shared" ref="F22:F23" si="2">E38/IF(H22=0,1000000000000,H22)</f>
        <v>0</v>
      </c>
      <c r="G22" s="4" t="s">
        <v>112</v>
      </c>
      <c r="H22" s="28">
        <f>CS_1!B26</f>
        <v>6335.5451847394152</v>
      </c>
      <c r="I22" s="4" t="s">
        <v>81</v>
      </c>
      <c r="J22" s="47">
        <f>A50*F65</f>
        <v>0</v>
      </c>
      <c r="K22" s="4" t="s">
        <v>81</v>
      </c>
      <c r="L22" s="131">
        <v>0</v>
      </c>
      <c r="N22" s="44" t="s">
        <v>79</v>
      </c>
      <c r="O22" s="48">
        <f>H14</f>
        <v>0.05</v>
      </c>
      <c r="P22" s="48">
        <f>H17*O29</f>
        <v>0</v>
      </c>
      <c r="Q22" s="48">
        <f>H18*P29</f>
        <v>-4.9999999479166668E-2</v>
      </c>
      <c r="R22" s="48">
        <f>H19*Q29</f>
        <v>0</v>
      </c>
      <c r="S22" s="44" t="s">
        <v>79</v>
      </c>
      <c r="T22" s="48">
        <f t="array" ref="T22:T25">MMULT(T33:W36,O22:O25)</f>
        <v>0.05</v>
      </c>
      <c r="U22" s="48">
        <f t="array" ref="U22:U25">MMULT(T33:W36,P22:P25)</f>
        <v>0</v>
      </c>
      <c r="V22" s="48">
        <f t="array" ref="V22:V25">MMULT(T33:W36,Q22:Q25)</f>
        <v>-4.9999999479166668E-2</v>
      </c>
      <c r="W22" s="48">
        <f t="array" ref="W22:W25">MMULT(T33:W36,R22:R25)</f>
        <v>0</v>
      </c>
      <c r="X22" s="68" t="s">
        <v>79</v>
      </c>
      <c r="Y22" s="28">
        <f t="array" ref="Y22:Y25">MMULT(T33:W36,Y15:Y18)</f>
        <v>0</v>
      </c>
      <c r="Z22" s="28">
        <f t="array" ref="Z22:Z25">MMULT(T33:W36,Z15:Z18)</f>
        <v>0</v>
      </c>
      <c r="AA22" s="28">
        <f t="array" ref="AA22:AA25">MMULT(T33:W36,AA15:AA18)</f>
        <v>0</v>
      </c>
      <c r="AB22" s="28">
        <f t="array" ref="AB22:AB25">MMULT(T33:W36,AB15:AB18)</f>
        <v>0</v>
      </c>
    </row>
    <row r="23" spans="1:59" ht="15" customHeight="1">
      <c r="A23" s="360"/>
      <c r="B23" s="297" t="s">
        <v>391</v>
      </c>
      <c r="E23" s="44" t="s">
        <v>107</v>
      </c>
      <c r="F23" s="47">
        <f t="shared" si="2"/>
        <v>-4.7460844803037485E-5</v>
      </c>
      <c r="G23" s="4" t="s">
        <v>113</v>
      </c>
      <c r="H23" s="28">
        <f>CS_1!B27</f>
        <v>2528400.0000000005</v>
      </c>
      <c r="I23" s="4" t="s">
        <v>82</v>
      </c>
      <c r="J23" s="47">
        <f>A50*F66</f>
        <v>0</v>
      </c>
      <c r="K23" s="4" t="s">
        <v>82</v>
      </c>
      <c r="L23" s="131">
        <v>0</v>
      </c>
      <c r="N23" s="44" t="s">
        <v>106</v>
      </c>
      <c r="O23" s="48">
        <f>H15</f>
        <v>0.05</v>
      </c>
      <c r="P23" s="48">
        <f>H17*O30</f>
        <v>4.9999999479166668E-2</v>
      </c>
      <c r="Q23" s="48">
        <f>H18*P30</f>
        <v>0</v>
      </c>
      <c r="R23" s="48">
        <f>H19*Q30</f>
        <v>0</v>
      </c>
      <c r="S23" s="44" t="s">
        <v>106</v>
      </c>
      <c r="T23" s="48">
        <v>0.05</v>
      </c>
      <c r="U23" s="48">
        <v>4.9999999479166668E-2</v>
      </c>
      <c r="V23" s="48">
        <v>0</v>
      </c>
      <c r="W23" s="48">
        <v>0</v>
      </c>
      <c r="X23" s="68" t="s">
        <v>106</v>
      </c>
      <c r="Y23" s="28">
        <v>0</v>
      </c>
      <c r="Z23" s="28">
        <v>0</v>
      </c>
      <c r="AA23" s="28">
        <v>0</v>
      </c>
      <c r="AB23" s="28">
        <v>0</v>
      </c>
    </row>
    <row r="24" spans="1:59" ht="15" customHeight="1">
      <c r="A24" s="360"/>
      <c r="B24" s="12" t="s">
        <v>405</v>
      </c>
      <c r="C24" s="30">
        <f>AC33+C20</f>
        <v>-100</v>
      </c>
      <c r="E24" s="4" t="s">
        <v>80</v>
      </c>
      <c r="F24" s="47">
        <f>E41/IF(H24=0,1000000000000,H24)+L21</f>
        <v>0</v>
      </c>
      <c r="G24" s="44" t="s">
        <v>8</v>
      </c>
      <c r="H24" s="28">
        <f>CS_1!B29</f>
        <v>101270791666.66669</v>
      </c>
      <c r="I24" s="4" t="s">
        <v>291</v>
      </c>
      <c r="J24" s="28">
        <v>1</v>
      </c>
      <c r="K24" s="4" t="s">
        <v>291</v>
      </c>
      <c r="L24" s="131">
        <v>1</v>
      </c>
      <c r="N24" s="44" t="s">
        <v>107</v>
      </c>
      <c r="O24" s="48">
        <f>H16</f>
        <v>0.05</v>
      </c>
      <c r="P24" s="48">
        <f>H17*O31</f>
        <v>6.2499999557985575E-6</v>
      </c>
      <c r="Q24" s="48">
        <f>H18*P31</f>
        <v>6.2499999557985575E-6</v>
      </c>
      <c r="R24" s="48">
        <f>H19*Q31</f>
        <v>0</v>
      </c>
      <c r="S24" s="44" t="s">
        <v>107</v>
      </c>
      <c r="T24" s="48">
        <v>0.05</v>
      </c>
      <c r="U24" s="48">
        <v>6.2499999557985575E-6</v>
      </c>
      <c r="V24" s="48">
        <v>6.2499999557985575E-6</v>
      </c>
      <c r="W24" s="48">
        <v>0</v>
      </c>
      <c r="X24" s="68" t="s">
        <v>107</v>
      </c>
      <c r="Y24" s="28">
        <v>-4.6460200954459769E-4</v>
      </c>
      <c r="Z24" s="28">
        <v>0</v>
      </c>
      <c r="AA24" s="28">
        <v>0</v>
      </c>
      <c r="AB24" s="28">
        <v>0</v>
      </c>
    </row>
    <row r="25" spans="1:59" ht="15" customHeight="1">
      <c r="A25" s="360"/>
      <c r="B25" s="12" t="s">
        <v>406</v>
      </c>
      <c r="C25" s="30">
        <f>AC34+C21</f>
        <v>0</v>
      </c>
      <c r="E25" s="4" t="s">
        <v>81</v>
      </c>
      <c r="F25" s="47">
        <f t="shared" ref="F25:F26" si="3">E42/IF(H25=0,1000000000000,H25)+L22</f>
        <v>0</v>
      </c>
      <c r="G25" s="44" t="s">
        <v>114</v>
      </c>
      <c r="H25" s="28">
        <f>CS_1!B30</f>
        <v>101540375000.00002</v>
      </c>
      <c r="K25" s="44"/>
      <c r="L25" s="44"/>
      <c r="N25" s="6" t="s">
        <v>102</v>
      </c>
      <c r="O25" s="28">
        <v>1</v>
      </c>
      <c r="P25" s="28">
        <v>1</v>
      </c>
      <c r="Q25" s="28">
        <v>1</v>
      </c>
      <c r="R25" s="28">
        <v>1</v>
      </c>
      <c r="S25" s="6" t="s">
        <v>102</v>
      </c>
      <c r="T25" s="28">
        <v>1</v>
      </c>
      <c r="U25" s="28">
        <v>1</v>
      </c>
      <c r="V25" s="28">
        <v>1</v>
      </c>
      <c r="W25" s="28">
        <v>1</v>
      </c>
      <c r="X25" s="6" t="s">
        <v>102</v>
      </c>
      <c r="Y25" s="28">
        <v>1</v>
      </c>
      <c r="Z25" s="28">
        <v>1</v>
      </c>
      <c r="AA25" s="28">
        <v>1</v>
      </c>
      <c r="AB25" s="28">
        <v>1</v>
      </c>
    </row>
    <row r="26" spans="1:59">
      <c r="A26" s="360"/>
      <c r="B26" s="12" t="s">
        <v>407</v>
      </c>
      <c r="C26" s="30">
        <f>AC35+C22</f>
        <v>-200</v>
      </c>
      <c r="E26" s="4" t="s">
        <v>82</v>
      </c>
      <c r="F26" s="47">
        <f t="shared" si="3"/>
        <v>0</v>
      </c>
      <c r="G26" s="44" t="s">
        <v>110</v>
      </c>
      <c r="H26" s="28">
        <f>CS_1!B31</f>
        <v>101270791666.66669</v>
      </c>
      <c r="K26" s="44"/>
      <c r="L26" s="44"/>
      <c r="S26" s="32"/>
      <c r="V26" s="5"/>
      <c r="AA26" s="5"/>
      <c r="AG26" s="5"/>
      <c r="AU26" s="5" t="s">
        <v>67</v>
      </c>
      <c r="AZ26" s="5" t="s">
        <v>87</v>
      </c>
      <c r="BE26" s="5" t="s">
        <v>92</v>
      </c>
    </row>
    <row r="27" spans="1:59" ht="17">
      <c r="A27" s="360"/>
      <c r="B27" s="67" t="s">
        <v>174</v>
      </c>
      <c r="E27" s="90" t="s">
        <v>280</v>
      </c>
      <c r="G27" s="353" t="s">
        <v>279</v>
      </c>
      <c r="H27" s="354"/>
      <c r="I27" s="354"/>
      <c r="J27" s="354"/>
      <c r="K27" s="354"/>
      <c r="L27" s="355"/>
      <c r="M27" s="89" t="s">
        <v>281</v>
      </c>
      <c r="N27" s="82" t="s">
        <v>234</v>
      </c>
      <c r="O27" s="79"/>
      <c r="P27" s="79"/>
      <c r="Q27" s="79"/>
      <c r="R27" s="79"/>
      <c r="S27" s="79"/>
      <c r="AA27" s="8"/>
      <c r="AE27" s="43" t="s">
        <v>214</v>
      </c>
      <c r="AF27" s="295">
        <f>CS_1!B60</f>
        <v>2.5000000000000001E-4</v>
      </c>
      <c r="AG27" s="43"/>
      <c r="AH27" s="43"/>
      <c r="AI27" s="43"/>
      <c r="AJ27" s="43" t="s">
        <v>88</v>
      </c>
      <c r="AK27" s="296">
        <f>CS_1!B61</f>
        <v>2.5000000000000001E-4</v>
      </c>
      <c r="AL27" s="7"/>
      <c r="AM27" s="7"/>
      <c r="AN27" s="43"/>
      <c r="AO27" s="43" t="s">
        <v>213</v>
      </c>
      <c r="AP27" s="295">
        <f>CS_1!B62</f>
        <v>2.5000000000000001E-4</v>
      </c>
      <c r="AU27" s="7" t="s">
        <v>0</v>
      </c>
      <c r="AV27" s="7" t="s">
        <v>1</v>
      </c>
      <c r="AW27" s="7" t="s">
        <v>2</v>
      </c>
      <c r="AZ27" s="7" t="s">
        <v>0</v>
      </c>
      <c r="BA27" s="7" t="s">
        <v>1</v>
      </c>
      <c r="BB27" s="7" t="s">
        <v>2</v>
      </c>
      <c r="BE27" s="7" t="s">
        <v>0</v>
      </c>
      <c r="BF27" s="7" t="s">
        <v>1</v>
      </c>
      <c r="BG27" s="7" t="s">
        <v>2</v>
      </c>
    </row>
    <row r="28" spans="1:59" ht="17" customHeight="1">
      <c r="A28" s="360"/>
      <c r="B28" s="39" t="s">
        <v>95</v>
      </c>
      <c r="C28" s="40">
        <v>0</v>
      </c>
      <c r="E28" s="44" t="s">
        <v>79</v>
      </c>
      <c r="F28" s="47">
        <f t="array" ref="F28:F33">MMULT(G28:L33,M28:M33)</f>
        <v>0</v>
      </c>
      <c r="G28" s="124">
        <f>CS_1!G5</f>
        <v>2.0857058237078009E-5</v>
      </c>
      <c r="H28" s="124">
        <f>CS_1!H5</f>
        <v>0</v>
      </c>
      <c r="I28" s="124">
        <f>CS_1!I5</f>
        <v>0</v>
      </c>
      <c r="J28" s="124">
        <f>CS_1!J5</f>
        <v>0</v>
      </c>
      <c r="K28" s="124">
        <f>CS_1!K5</f>
        <v>0</v>
      </c>
      <c r="L28" s="124">
        <f>CS_1!L5</f>
        <v>0</v>
      </c>
      <c r="M28" s="28">
        <f>C28</f>
        <v>0</v>
      </c>
      <c r="N28" s="79"/>
      <c r="O28" s="83" t="s">
        <v>4</v>
      </c>
      <c r="P28" s="84" t="s">
        <v>5</v>
      </c>
      <c r="Q28" s="84" t="s">
        <v>6</v>
      </c>
      <c r="R28" s="84"/>
      <c r="S28" s="84"/>
      <c r="T28" s="25"/>
      <c r="U28" s="25"/>
      <c r="V28" s="25"/>
      <c r="W28" s="25"/>
      <c r="X28" s="25"/>
      <c r="Y28" s="25"/>
      <c r="Z28" s="25"/>
      <c r="AA28" s="25"/>
      <c r="AB28" t="s">
        <v>66</v>
      </c>
      <c r="AC28" s="28">
        <f>C13</f>
        <v>0</v>
      </c>
      <c r="AD28" s="28"/>
      <c r="AE28" s="76">
        <v>1</v>
      </c>
      <c r="AF28" s="47">
        <v>0</v>
      </c>
      <c r="AG28" s="47">
        <v>0</v>
      </c>
      <c r="AH28" s="77">
        <v>0</v>
      </c>
      <c r="AI28" s="78"/>
      <c r="AJ28" s="47">
        <f>COS(AK27)</f>
        <v>0.99999996875000019</v>
      </c>
      <c r="AK28" s="47">
        <v>0</v>
      </c>
      <c r="AL28" s="47">
        <f>-AJ30</f>
        <v>2.4999999739583334E-4</v>
      </c>
      <c r="AM28" s="47">
        <v>0</v>
      </c>
      <c r="AN28" s="78"/>
      <c r="AO28" s="47">
        <f>COS(AP27)</f>
        <v>0.99999996875000019</v>
      </c>
      <c r="AP28" s="47">
        <f>-AO29</f>
        <v>-2.4999999739583334E-4</v>
      </c>
      <c r="AQ28" s="47">
        <v>0</v>
      </c>
      <c r="AR28" s="47">
        <v>0</v>
      </c>
      <c r="AS28" s="78"/>
      <c r="AT28" s="28" t="s">
        <v>63</v>
      </c>
      <c r="AU28" s="47">
        <f t="array" ref="AU28:AU31">MMULT(AE28:AH31,$AC28:$AC31)</f>
        <v>0</v>
      </c>
      <c r="AV28" s="47">
        <f>AU28-$AC28</f>
        <v>0</v>
      </c>
      <c r="AW28" s="47">
        <f>AV28/AF27</f>
        <v>0</v>
      </c>
      <c r="AX28" s="78"/>
      <c r="AY28" s="28" t="s">
        <v>63</v>
      </c>
      <c r="AZ28" s="47">
        <f t="array" ref="AZ28:AZ31">MMULT(AJ28:AM31,$AC28:$AC31)</f>
        <v>-4.9999999479166668E-2</v>
      </c>
      <c r="BA28" s="47">
        <f>AZ28-$AC28</f>
        <v>-4.9999999479166668E-2</v>
      </c>
      <c r="BB28" s="47">
        <f>BA28/AK27</f>
        <v>-199.99999791666667</v>
      </c>
      <c r="BC28" s="78"/>
      <c r="BD28" s="28" t="s">
        <v>63</v>
      </c>
      <c r="BE28" s="47">
        <f t="array" ref="BE28:BE31">MMULT(AO28:AR31,$AC28:$AC31)</f>
        <v>0</v>
      </c>
      <c r="BF28" s="47">
        <f>BE28-$AC28</f>
        <v>0</v>
      </c>
      <c r="BG28" s="47">
        <f>BF28/AP27</f>
        <v>0</v>
      </c>
    </row>
    <row r="29" spans="1:59" ht="17">
      <c r="A29" s="360"/>
      <c r="B29" s="39" t="s">
        <v>96</v>
      </c>
      <c r="C29" s="40">
        <v>0</v>
      </c>
      <c r="E29" s="44" t="s">
        <v>106</v>
      </c>
      <c r="F29" s="47">
        <v>0</v>
      </c>
      <c r="G29" s="124">
        <f>CS_1!G6</f>
        <v>0</v>
      </c>
      <c r="H29" s="124">
        <f>CS_1!H6</f>
        <v>6.637884798181751E-6</v>
      </c>
      <c r="I29" s="124">
        <f>CS_1!I6</f>
        <v>0</v>
      </c>
      <c r="J29" s="124">
        <f>CS_1!J6</f>
        <v>0</v>
      </c>
      <c r="K29" s="124">
        <f>CS_1!K6</f>
        <v>0</v>
      </c>
      <c r="L29" s="124">
        <f>CS_1!L6</f>
        <v>4.9784135986363128E-8</v>
      </c>
      <c r="M29" s="28">
        <f t="shared" ref="M29:M30" si="4">C29</f>
        <v>0</v>
      </c>
      <c r="N29" s="85" t="s">
        <v>79</v>
      </c>
      <c r="O29" s="86">
        <f>AW28</f>
        <v>0</v>
      </c>
      <c r="P29" s="86">
        <f>BB28</f>
        <v>-199.99999791666667</v>
      </c>
      <c r="Q29" s="86">
        <f>BG28</f>
        <v>0</v>
      </c>
      <c r="R29" s="79"/>
      <c r="S29" s="79"/>
      <c r="AB29" t="s">
        <v>71</v>
      </c>
      <c r="AC29" s="28">
        <f>C14</f>
        <v>0</v>
      </c>
      <c r="AD29" s="28"/>
      <c r="AE29" s="76">
        <v>0</v>
      </c>
      <c r="AF29" s="47">
        <f>COS(AF27)</f>
        <v>0.99999996875000019</v>
      </c>
      <c r="AG29" s="47">
        <f>-SIN(AF27)</f>
        <v>-2.4999999739583334E-4</v>
      </c>
      <c r="AH29" s="77">
        <v>0</v>
      </c>
      <c r="AI29" s="78"/>
      <c r="AJ29" s="47">
        <v>0</v>
      </c>
      <c r="AK29" s="47">
        <v>1</v>
      </c>
      <c r="AL29" s="47">
        <v>0</v>
      </c>
      <c r="AM29" s="47">
        <v>0</v>
      </c>
      <c r="AN29" s="78"/>
      <c r="AO29" s="47">
        <f>SIN(AP27)</f>
        <v>2.4999999739583334E-4</v>
      </c>
      <c r="AP29" s="47">
        <f>AO28</f>
        <v>0.99999996875000019</v>
      </c>
      <c r="AQ29" s="47">
        <v>0</v>
      </c>
      <c r="AR29" s="47">
        <v>0</v>
      </c>
      <c r="AS29" s="78"/>
      <c r="AT29" s="28" t="s">
        <v>64</v>
      </c>
      <c r="AU29" s="47">
        <v>4.9999999479166668E-2</v>
      </c>
      <c r="AV29" s="47">
        <f>AU29-$AC29</f>
        <v>4.9999999479166668E-2</v>
      </c>
      <c r="AW29" s="47">
        <f>AV29/AF27</f>
        <v>199.99999791666667</v>
      </c>
      <c r="AX29" s="78"/>
      <c r="AY29" s="28" t="s">
        <v>64</v>
      </c>
      <c r="AZ29" s="47">
        <v>0</v>
      </c>
      <c r="BA29" s="47">
        <f>AZ29-$AC29</f>
        <v>0</v>
      </c>
      <c r="BB29" s="47">
        <f>BA29/AK27</f>
        <v>0</v>
      </c>
      <c r="BC29" s="78"/>
      <c r="BD29" s="28" t="s">
        <v>64</v>
      </c>
      <c r="BE29" s="47">
        <v>0</v>
      </c>
      <c r="BF29" s="47">
        <f>BE29-$AC29</f>
        <v>0</v>
      </c>
      <c r="BG29" s="47">
        <f>BF29/AP27</f>
        <v>0</v>
      </c>
    </row>
    <row r="30" spans="1:59" ht="17">
      <c r="A30" s="360"/>
      <c r="B30" s="39" t="s">
        <v>97</v>
      </c>
      <c r="C30" s="40">
        <v>-20</v>
      </c>
      <c r="E30" s="44" t="s">
        <v>107</v>
      </c>
      <c r="F30" s="47">
        <v>-4.1714116474156018E-4</v>
      </c>
      <c r="G30" s="124">
        <f>CS_1!G7</f>
        <v>0</v>
      </c>
      <c r="H30" s="124">
        <f>CS_1!H7</f>
        <v>0</v>
      </c>
      <c r="I30" s="124">
        <f>CS_1!I7</f>
        <v>2.0857058237078009E-5</v>
      </c>
      <c r="J30" s="124">
        <f>CS_1!J7</f>
        <v>0</v>
      </c>
      <c r="K30" s="124">
        <f>CS_1!K7</f>
        <v>-1.5642793677808508E-7</v>
      </c>
      <c r="L30" s="124">
        <f>CS_1!L7</f>
        <v>0</v>
      </c>
      <c r="M30" s="28">
        <f t="shared" si="4"/>
        <v>-20</v>
      </c>
      <c r="N30" s="85" t="s">
        <v>106</v>
      </c>
      <c r="O30" s="86">
        <f t="shared" ref="O30:O31" si="5">AW29</f>
        <v>199.99999791666667</v>
      </c>
      <c r="P30" s="86">
        <f t="shared" ref="P30:P31" si="6">BB29</f>
        <v>0</v>
      </c>
      <c r="Q30" s="86">
        <f t="shared" ref="Q30:Q31" si="7">BG29</f>
        <v>0</v>
      </c>
      <c r="R30" s="79"/>
      <c r="S30" s="79"/>
      <c r="AB30" t="s">
        <v>72</v>
      </c>
      <c r="AC30" s="28">
        <f>C15</f>
        <v>-200</v>
      </c>
      <c r="AD30" s="28"/>
      <c r="AE30" s="76">
        <v>0</v>
      </c>
      <c r="AF30" s="47">
        <f>-AG29</f>
        <v>2.4999999739583334E-4</v>
      </c>
      <c r="AG30" s="47">
        <f>AF29</f>
        <v>0.99999996875000019</v>
      </c>
      <c r="AH30" s="77">
        <v>0</v>
      </c>
      <c r="AI30" s="78"/>
      <c r="AJ30" s="47">
        <f>-SIN(AK27)</f>
        <v>-2.4999999739583334E-4</v>
      </c>
      <c r="AK30" s="47">
        <v>0</v>
      </c>
      <c r="AL30" s="47">
        <f>COS(AK27)</f>
        <v>0.99999996875000019</v>
      </c>
      <c r="AM30" s="47">
        <v>0</v>
      </c>
      <c r="AN30" s="78"/>
      <c r="AO30" s="47">
        <v>0</v>
      </c>
      <c r="AP30" s="47">
        <v>0</v>
      </c>
      <c r="AQ30" s="47">
        <v>1</v>
      </c>
      <c r="AR30" s="47">
        <v>0</v>
      </c>
      <c r="AS30" s="78"/>
      <c r="AT30" s="28" t="s">
        <v>65</v>
      </c>
      <c r="AU30" s="47">
        <v>-199.99999375000004</v>
      </c>
      <c r="AV30" s="47">
        <f>AU30-$AC30</f>
        <v>6.2499999557985575E-6</v>
      </c>
      <c r="AW30" s="47">
        <f>AV30/AF27</f>
        <v>2.499999982319423E-2</v>
      </c>
      <c r="AX30" s="78"/>
      <c r="AY30" s="28" t="s">
        <v>65</v>
      </c>
      <c r="AZ30" s="47">
        <v>-199.99999375000004</v>
      </c>
      <c r="BA30" s="47">
        <f>AZ30-$AC30</f>
        <v>6.2499999557985575E-6</v>
      </c>
      <c r="BB30" s="47">
        <f>BA30/AK27</f>
        <v>2.499999982319423E-2</v>
      </c>
      <c r="BC30" s="78"/>
      <c r="BD30" s="28" t="s">
        <v>65</v>
      </c>
      <c r="BE30" s="47">
        <v>-200</v>
      </c>
      <c r="BF30" s="47">
        <f>BE30-$AC30</f>
        <v>0</v>
      </c>
      <c r="BG30" s="47">
        <f>BF30/AP27</f>
        <v>0</v>
      </c>
    </row>
    <row r="31" spans="1:59" ht="15" customHeight="1">
      <c r="A31" s="360"/>
      <c r="B31" s="39" t="s">
        <v>102</v>
      </c>
      <c r="C31" s="41">
        <v>1</v>
      </c>
      <c r="E31" s="4" t="s">
        <v>80</v>
      </c>
      <c r="F31" s="47">
        <v>0</v>
      </c>
      <c r="G31" s="124">
        <f>CS_1!G8</f>
        <v>0</v>
      </c>
      <c r="H31" s="124">
        <f>CS_1!H8</f>
        <v>0</v>
      </c>
      <c r="I31" s="124">
        <f>CS_1!I8</f>
        <v>0</v>
      </c>
      <c r="J31" s="124">
        <f>CS_1!J8</f>
        <v>6.7225923999865318E-10</v>
      </c>
      <c r="K31" s="124">
        <f>CS_1!K8</f>
        <v>0</v>
      </c>
      <c r="L31" s="124">
        <f>CS_1!L8</f>
        <v>0</v>
      </c>
      <c r="M31" s="28">
        <f>C32</f>
        <v>0</v>
      </c>
      <c r="N31" s="85" t="s">
        <v>107</v>
      </c>
      <c r="O31" s="86">
        <f t="shared" si="5"/>
        <v>2.499999982319423E-2</v>
      </c>
      <c r="P31" s="86">
        <f t="shared" si="6"/>
        <v>2.499999982319423E-2</v>
      </c>
      <c r="Q31" s="86">
        <f t="shared" si="7"/>
        <v>0</v>
      </c>
      <c r="R31" s="79"/>
      <c r="S31" s="79"/>
      <c r="AC31" s="28">
        <v>1</v>
      </c>
      <c r="AD31" s="28"/>
      <c r="AE31" s="76">
        <v>0</v>
      </c>
      <c r="AF31" s="47">
        <v>0</v>
      </c>
      <c r="AG31" s="47">
        <v>0</v>
      </c>
      <c r="AH31" s="77">
        <v>1</v>
      </c>
      <c r="AI31" s="78"/>
      <c r="AJ31" s="47">
        <v>0</v>
      </c>
      <c r="AK31" s="47">
        <v>0</v>
      </c>
      <c r="AL31" s="47">
        <v>0</v>
      </c>
      <c r="AM31" s="47">
        <v>1</v>
      </c>
      <c r="AN31" s="78"/>
      <c r="AO31" s="47">
        <v>0</v>
      </c>
      <c r="AP31" s="47">
        <v>0</v>
      </c>
      <c r="AQ31" s="47">
        <v>0</v>
      </c>
      <c r="AR31" s="47">
        <v>1</v>
      </c>
      <c r="AS31" s="78"/>
      <c r="AT31" s="28"/>
      <c r="AU31" s="47">
        <v>1</v>
      </c>
      <c r="AV31" s="47"/>
      <c r="AW31" s="47"/>
      <c r="AX31" s="78"/>
      <c r="AY31" s="28"/>
      <c r="AZ31" s="47">
        <v>1</v>
      </c>
      <c r="BA31" s="47"/>
      <c r="BB31" s="47"/>
      <c r="BC31" s="78"/>
      <c r="BD31" s="28"/>
      <c r="BE31" s="47">
        <v>1</v>
      </c>
      <c r="BF31" s="47"/>
      <c r="BG31" s="47"/>
    </row>
    <row r="32" spans="1:59" ht="15" customHeight="1">
      <c r="A32" s="360"/>
      <c r="B32" s="39" t="s">
        <v>98</v>
      </c>
      <c r="C32" s="40">
        <v>0</v>
      </c>
      <c r="E32" s="4" t="s">
        <v>81</v>
      </c>
      <c r="F32" s="47">
        <v>3.1285587355617018E-6</v>
      </c>
      <c r="G32" s="124">
        <f>CS_1!G9</f>
        <v>1.5642793677808508E-7</v>
      </c>
      <c r="H32" s="124">
        <f>CS_1!H9</f>
        <v>0</v>
      </c>
      <c r="I32" s="124">
        <f>CS_1!I9</f>
        <v>-1.5642793677808508E-7</v>
      </c>
      <c r="J32" s="124">
        <f>CS_1!J9</f>
        <v>0</v>
      </c>
      <c r="K32" s="124">
        <f>CS_1!K9</f>
        <v>1.5642793677808508E-9</v>
      </c>
      <c r="L32" s="124">
        <f>CS_1!L9</f>
        <v>0</v>
      </c>
      <c r="M32" s="28">
        <f>C33</f>
        <v>0</v>
      </c>
      <c r="O32" s="3" t="s">
        <v>77</v>
      </c>
      <c r="T32" s="3" t="s">
        <v>78</v>
      </c>
      <c r="AE32" t="s">
        <v>90</v>
      </c>
      <c r="AJ32" t="s">
        <v>89</v>
      </c>
      <c r="AO32" t="s">
        <v>91</v>
      </c>
    </row>
    <row r="33" spans="1:71" ht="15" customHeight="1">
      <c r="A33" s="360"/>
      <c r="B33" s="39" t="s">
        <v>99</v>
      </c>
      <c r="C33" s="40">
        <v>0</v>
      </c>
      <c r="E33" s="4" t="s">
        <v>82</v>
      </c>
      <c r="F33" s="47">
        <v>0</v>
      </c>
      <c r="G33" s="124">
        <f>CS_1!G10</f>
        <v>0</v>
      </c>
      <c r="H33" s="124">
        <f>CS_1!H10</f>
        <v>4.9784135986363128E-8</v>
      </c>
      <c r="I33" s="124">
        <f>CS_1!I10</f>
        <v>0</v>
      </c>
      <c r="J33" s="124">
        <f>CS_1!J10</f>
        <v>0</v>
      </c>
      <c r="K33" s="124">
        <f>CS_1!K10</f>
        <v>0</v>
      </c>
      <c r="L33" s="124">
        <f>CS_1!L10</f>
        <v>6.7225923999865318E-10</v>
      </c>
      <c r="M33" s="28">
        <f>C34</f>
        <v>0</v>
      </c>
      <c r="O33" s="30">
        <f t="array" ref="O33:R36">MMULT(AO33:AR36,MMULT(AJ33:AM36,AE33:AH36))</f>
        <v>1</v>
      </c>
      <c r="P33" s="30">
        <v>0</v>
      </c>
      <c r="Q33" s="30">
        <v>0</v>
      </c>
      <c r="R33" s="30">
        <v>0</v>
      </c>
      <c r="S33" s="11"/>
      <c r="T33" s="30">
        <f t="array" ref="T33:W36">MMULT(T66:W69,O33:R36)</f>
        <v>1</v>
      </c>
      <c r="U33" s="30">
        <v>0</v>
      </c>
      <c r="V33" s="30">
        <v>0</v>
      </c>
      <c r="W33" s="30">
        <v>0</v>
      </c>
      <c r="X33" s="30"/>
      <c r="Y33" s="30"/>
      <c r="Z33" s="30"/>
      <c r="AA33" s="30"/>
      <c r="AB33" t="s">
        <v>68</v>
      </c>
      <c r="AC33" s="28">
        <f t="array" ref="AC33:AC36">MMULT(O33:R36,AC28:AC31)</f>
        <v>0</v>
      </c>
      <c r="AD33" s="28"/>
      <c r="AE33" s="27">
        <v>1</v>
      </c>
      <c r="AF33" s="28">
        <v>0</v>
      </c>
      <c r="AG33" s="28">
        <v>0</v>
      </c>
      <c r="AH33" s="29">
        <v>0</v>
      </c>
      <c r="AJ33" s="27">
        <f>COS(PI()*C18/180)</f>
        <v>1</v>
      </c>
      <c r="AK33" s="28">
        <v>0</v>
      </c>
      <c r="AL33" s="28">
        <f>SIN(PI()*C18/180)</f>
        <v>0</v>
      </c>
      <c r="AM33" s="29">
        <v>0</v>
      </c>
      <c r="AO33" s="27">
        <f>COS(PI()*C19/180)</f>
        <v>1</v>
      </c>
      <c r="AP33" s="28">
        <f>-SIN(PI()*C19/180)</f>
        <v>0</v>
      </c>
      <c r="AQ33" s="28">
        <v>0</v>
      </c>
      <c r="AR33" s="29">
        <v>0</v>
      </c>
    </row>
    <row r="34" spans="1:71" ht="15" customHeight="1">
      <c r="A34" s="360"/>
      <c r="B34" s="39" t="s">
        <v>100</v>
      </c>
      <c r="C34" s="40">
        <v>0</v>
      </c>
      <c r="J34" s="117"/>
      <c r="K34" s="117"/>
      <c r="L34" s="117"/>
      <c r="M34" s="8"/>
      <c r="O34" s="30">
        <v>0</v>
      </c>
      <c r="P34" s="30">
        <v>1</v>
      </c>
      <c r="Q34" s="30">
        <v>0</v>
      </c>
      <c r="R34" s="30">
        <v>0</v>
      </c>
      <c r="S34" s="11"/>
      <c r="T34" s="30">
        <v>0</v>
      </c>
      <c r="U34" s="30">
        <v>1</v>
      </c>
      <c r="V34" s="30">
        <v>0</v>
      </c>
      <c r="W34" s="30">
        <v>0</v>
      </c>
      <c r="X34" s="30"/>
      <c r="Y34" s="30"/>
      <c r="Z34" s="30"/>
      <c r="AA34" s="30"/>
      <c r="AB34" t="s">
        <v>69</v>
      </c>
      <c r="AC34" s="28">
        <v>0</v>
      </c>
      <c r="AD34" s="28"/>
      <c r="AE34" s="27">
        <v>0</v>
      </c>
      <c r="AF34" s="28">
        <f>COS(PI()*C17/180)</f>
        <v>1</v>
      </c>
      <c r="AG34" s="28">
        <f>-SIN(PI()*C17/180)</f>
        <v>0</v>
      </c>
      <c r="AH34" s="29">
        <v>0</v>
      </c>
      <c r="AJ34" s="27">
        <v>0</v>
      </c>
      <c r="AK34" s="28">
        <v>1</v>
      </c>
      <c r="AL34" s="28">
        <v>0</v>
      </c>
      <c r="AM34" s="29">
        <v>0</v>
      </c>
      <c r="AO34" s="27">
        <f>SIN(PI()*C19/180)</f>
        <v>0</v>
      </c>
      <c r="AP34" s="28">
        <f>AO33</f>
        <v>1</v>
      </c>
      <c r="AQ34" s="28">
        <v>0</v>
      </c>
      <c r="AR34" s="29">
        <v>0</v>
      </c>
    </row>
    <row r="35" spans="1:71" ht="15" customHeight="1">
      <c r="A35" s="360"/>
      <c r="B35" s="39" t="s">
        <v>102</v>
      </c>
      <c r="C35" s="41">
        <v>1</v>
      </c>
      <c r="J35" s="117"/>
      <c r="K35" s="117"/>
      <c r="L35" s="117"/>
      <c r="M35" s="117"/>
      <c r="O35" s="30">
        <v>0</v>
      </c>
      <c r="P35" s="30">
        <v>0</v>
      </c>
      <c r="Q35" s="30">
        <v>1</v>
      </c>
      <c r="R35" s="30">
        <v>0</v>
      </c>
      <c r="S35" s="11"/>
      <c r="T35" s="30">
        <v>0</v>
      </c>
      <c r="U35" s="30">
        <v>0</v>
      </c>
      <c r="V35" s="30">
        <v>1</v>
      </c>
      <c r="W35" s="30">
        <v>0</v>
      </c>
      <c r="X35" s="30"/>
      <c r="Y35" s="30"/>
      <c r="Z35" s="30"/>
      <c r="AA35" s="30"/>
      <c r="AB35" t="s">
        <v>70</v>
      </c>
      <c r="AC35" s="28">
        <v>-200</v>
      </c>
      <c r="AD35" s="28"/>
      <c r="AE35" s="27">
        <v>0</v>
      </c>
      <c r="AF35" s="28">
        <f>SIN(PI()*C17/180)</f>
        <v>0</v>
      </c>
      <c r="AG35" s="28">
        <f>AF34</f>
        <v>1</v>
      </c>
      <c r="AH35" s="29">
        <v>0</v>
      </c>
      <c r="AJ35" s="27">
        <f>-SIN(PI()*C18/180)</f>
        <v>0</v>
      </c>
      <c r="AK35" s="28">
        <v>0</v>
      </c>
      <c r="AL35" s="28">
        <f>AJ33</f>
        <v>1</v>
      </c>
      <c r="AM35" s="29">
        <v>0</v>
      </c>
      <c r="AO35" s="27">
        <v>0</v>
      </c>
      <c r="AP35" s="28">
        <v>0</v>
      </c>
      <c r="AQ35" s="28">
        <v>1</v>
      </c>
      <c r="AR35" s="29">
        <v>0</v>
      </c>
    </row>
    <row r="36" spans="1:71" s="114" customFormat="1" ht="16" customHeight="1">
      <c r="A36" s="360"/>
      <c r="B36" s="151" t="s">
        <v>318</v>
      </c>
      <c r="C36" s="38"/>
      <c r="D36" s="97" t="s">
        <v>232</v>
      </c>
      <c r="E36" s="38"/>
      <c r="F36"/>
      <c r="G36"/>
      <c r="H36" s="113"/>
      <c r="I36" s="113"/>
      <c r="J36" s="113"/>
      <c r="K36" s="113"/>
      <c r="L36" s="113"/>
      <c r="M36" s="113"/>
      <c r="O36" s="115">
        <v>0</v>
      </c>
      <c r="P36" s="115">
        <v>0</v>
      </c>
      <c r="Q36" s="115">
        <v>0</v>
      </c>
      <c r="R36" s="115">
        <v>1</v>
      </c>
      <c r="S36" s="116"/>
      <c r="T36" s="115">
        <v>0</v>
      </c>
      <c r="U36" s="115">
        <v>0</v>
      </c>
      <c r="V36" s="115">
        <v>0</v>
      </c>
      <c r="W36" s="115">
        <v>1</v>
      </c>
      <c r="X36" s="115"/>
      <c r="Y36" s="115"/>
      <c r="Z36" s="115"/>
      <c r="AA36" s="115"/>
      <c r="AC36" s="31">
        <v>1</v>
      </c>
      <c r="AD36" s="31"/>
      <c r="AE36" s="31">
        <v>0</v>
      </c>
      <c r="AF36" s="31">
        <v>0</v>
      </c>
      <c r="AG36" s="31">
        <v>0</v>
      </c>
      <c r="AH36" s="31">
        <v>1</v>
      </c>
      <c r="AJ36" s="31">
        <v>0</v>
      </c>
      <c r="AK36" s="31">
        <v>0</v>
      </c>
      <c r="AL36" s="31">
        <v>0</v>
      </c>
      <c r="AM36" s="31">
        <v>1</v>
      </c>
      <c r="AO36" s="31">
        <v>0</v>
      </c>
      <c r="AP36" s="31">
        <v>0</v>
      </c>
      <c r="AQ36" s="31">
        <v>0</v>
      </c>
      <c r="AR36" s="31">
        <v>1</v>
      </c>
    </row>
    <row r="37" spans="1:71" s="114" customFormat="1" ht="16" customHeight="1">
      <c r="A37" s="360"/>
      <c r="B37" s="39" t="s">
        <v>95</v>
      </c>
      <c r="C37" s="40">
        <v>0</v>
      </c>
      <c r="D37" s="39" t="s">
        <v>95</v>
      </c>
      <c r="E37" s="41">
        <f>C28+C37</f>
        <v>0</v>
      </c>
      <c r="H37" s="113"/>
      <c r="I37" s="113"/>
      <c r="J37" s="113"/>
      <c r="K37" s="113"/>
      <c r="L37" s="113"/>
      <c r="M37" s="113"/>
      <c r="O37" s="118"/>
      <c r="P37" s="118"/>
      <c r="Q37" s="118"/>
      <c r="R37" s="118"/>
      <c r="S37" s="116"/>
      <c r="T37" s="118"/>
      <c r="U37" s="118"/>
      <c r="V37" s="118"/>
      <c r="W37" s="118"/>
      <c r="X37" s="118"/>
      <c r="Y37" s="118"/>
      <c r="Z37" s="118"/>
      <c r="AA37" s="118"/>
      <c r="AB37" s="119"/>
      <c r="AC37" s="116"/>
      <c r="AD37" s="116"/>
      <c r="AE37" s="116"/>
      <c r="AF37" s="116"/>
      <c r="AG37" s="116"/>
      <c r="AH37" s="116"/>
      <c r="AI37" s="119"/>
      <c r="AJ37" s="116"/>
      <c r="AK37" s="116"/>
      <c r="AL37" s="116"/>
      <c r="AM37" s="116"/>
      <c r="AN37" s="119"/>
      <c r="AO37" s="116"/>
      <c r="AP37" s="116"/>
      <c r="AQ37" s="116"/>
      <c r="AR37" s="116"/>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row>
    <row r="38" spans="1:71" s="114" customFormat="1" ht="16" customHeight="1">
      <c r="A38" s="360"/>
      <c r="B38" s="39" t="s">
        <v>96</v>
      </c>
      <c r="C38" s="40">
        <v>0</v>
      </c>
      <c r="D38" s="39" t="s">
        <v>96</v>
      </c>
      <c r="E38" s="41">
        <f>C29+C38</f>
        <v>0</v>
      </c>
      <c r="H38" s="113"/>
      <c r="I38" s="113"/>
      <c r="J38" s="113"/>
      <c r="K38" s="113"/>
      <c r="L38" s="113"/>
      <c r="M38" s="113"/>
      <c r="O38" s="118"/>
      <c r="P38" s="118"/>
      <c r="Q38" s="118"/>
      <c r="R38" s="118"/>
      <c r="S38" s="116"/>
      <c r="T38" s="118"/>
      <c r="U38" s="118"/>
      <c r="V38" s="118"/>
      <c r="W38" s="118"/>
      <c r="X38" s="118"/>
      <c r="Y38" s="118"/>
      <c r="Z38" s="118"/>
      <c r="AA38" s="118"/>
      <c r="AB38" s="119"/>
      <c r="AC38" s="116"/>
      <c r="AD38" s="116"/>
      <c r="AE38" s="116"/>
      <c r="AF38" s="116"/>
      <c r="AG38" s="116"/>
      <c r="AH38" s="116"/>
      <c r="AI38" s="119"/>
      <c r="AJ38" s="116"/>
      <c r="AK38" s="116"/>
      <c r="AL38" s="116"/>
      <c r="AM38" s="116"/>
      <c r="AN38" s="119"/>
      <c r="AO38" s="116"/>
      <c r="AP38" s="116"/>
      <c r="AQ38" s="116"/>
      <c r="AR38" s="116"/>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row>
    <row r="39" spans="1:71" s="114" customFormat="1" ht="16" customHeight="1">
      <c r="A39" s="360"/>
      <c r="B39" s="39" t="s">
        <v>97</v>
      </c>
      <c r="C39" s="40">
        <v>-100</v>
      </c>
      <c r="D39" s="39" t="s">
        <v>97</v>
      </c>
      <c r="E39" s="41">
        <f>C30+C39</f>
        <v>-120</v>
      </c>
      <c r="H39" s="113"/>
      <c r="I39" s="113"/>
      <c r="J39" s="113"/>
      <c r="K39" s="113"/>
      <c r="L39" s="113"/>
      <c r="M39" s="113"/>
      <c r="O39" s="118"/>
      <c r="P39" s="118"/>
      <c r="Q39" s="118"/>
      <c r="R39" s="118"/>
      <c r="S39" s="116"/>
      <c r="T39" s="118"/>
      <c r="U39" s="118"/>
      <c r="V39" s="118"/>
      <c r="W39" s="118"/>
      <c r="X39" s="118"/>
      <c r="Y39" s="118"/>
      <c r="Z39" s="118"/>
      <c r="AA39" s="118"/>
      <c r="AB39" s="119"/>
      <c r="AC39" s="116"/>
      <c r="AD39" s="116"/>
      <c r="AE39" s="116"/>
      <c r="AF39" s="116"/>
      <c r="AG39" s="116"/>
      <c r="AH39" s="116"/>
      <c r="AI39" s="119"/>
      <c r="AJ39" s="116"/>
      <c r="AK39" s="116"/>
      <c r="AL39" s="116"/>
      <c r="AM39" s="116"/>
      <c r="AN39" s="119"/>
      <c r="AO39" s="116"/>
      <c r="AP39" s="116"/>
      <c r="AQ39" s="116"/>
      <c r="AR39" s="116"/>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row>
    <row r="40" spans="1:71" s="114" customFormat="1" ht="16" customHeight="1">
      <c r="A40" s="360"/>
      <c r="B40" s="39" t="s">
        <v>102</v>
      </c>
      <c r="C40" s="41">
        <v>1</v>
      </c>
      <c r="D40" s="39" t="s">
        <v>102</v>
      </c>
      <c r="E40" s="41">
        <v>1</v>
      </c>
      <c r="H40" s="113"/>
      <c r="I40" s="113"/>
      <c r="J40" s="113"/>
      <c r="K40" s="113"/>
      <c r="L40" s="113"/>
      <c r="M40" s="113"/>
      <c r="O40" s="118"/>
      <c r="P40" s="118"/>
      <c r="Q40" s="118"/>
      <c r="R40" s="118"/>
      <c r="S40" s="116"/>
      <c r="T40" s="118"/>
      <c r="U40" s="118"/>
      <c r="V40" s="118"/>
      <c r="W40" s="118"/>
      <c r="X40" s="118"/>
      <c r="Y40" s="118"/>
      <c r="Z40" s="118"/>
      <c r="AA40" s="118"/>
      <c r="AB40" s="119"/>
      <c r="AC40" s="116"/>
      <c r="AD40" s="116"/>
      <c r="AE40" s="116"/>
      <c r="AF40" s="116"/>
      <c r="AG40" s="116"/>
      <c r="AH40" s="116"/>
      <c r="AI40" s="119"/>
      <c r="AJ40" s="116"/>
      <c r="AK40" s="116"/>
      <c r="AL40" s="116"/>
      <c r="AM40" s="116"/>
      <c r="AN40" s="119"/>
      <c r="AO40" s="116"/>
      <c r="AP40" s="116"/>
      <c r="AQ40" s="116"/>
      <c r="AR40" s="116"/>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row>
    <row r="41" spans="1:71" s="114" customFormat="1" ht="16" customHeight="1">
      <c r="A41" s="360"/>
      <c r="B41" s="39" t="s">
        <v>98</v>
      </c>
      <c r="C41" s="40">
        <v>0</v>
      </c>
      <c r="D41" s="39" t="s">
        <v>98</v>
      </c>
      <c r="E41" s="41">
        <f>C32+C41+C30*C14-C29*C15</f>
        <v>0</v>
      </c>
      <c r="F41" s="39"/>
      <c r="G41" s="117"/>
      <c r="H41" s="113"/>
      <c r="I41" s="113"/>
      <c r="J41" s="113"/>
      <c r="K41" s="113"/>
      <c r="L41" s="113"/>
      <c r="M41" s="113"/>
      <c r="O41" s="118"/>
      <c r="P41" s="118"/>
      <c r="Q41" s="118"/>
      <c r="R41" s="118"/>
      <c r="S41" s="116"/>
      <c r="T41" s="118"/>
      <c r="U41" s="118"/>
      <c r="V41" s="118"/>
      <c r="W41" s="118"/>
      <c r="X41" s="118"/>
      <c r="Y41" s="118"/>
      <c r="Z41" s="118"/>
      <c r="AA41" s="118"/>
      <c r="AB41" s="119"/>
      <c r="AC41" s="116"/>
      <c r="AD41" s="116"/>
      <c r="AE41" s="116"/>
      <c r="AF41" s="116"/>
      <c r="AG41" s="116"/>
      <c r="AH41" s="116"/>
      <c r="AI41" s="119"/>
      <c r="AJ41" s="116"/>
      <c r="AK41" s="116"/>
      <c r="AL41" s="116"/>
      <c r="AM41" s="116"/>
      <c r="AN41" s="119"/>
      <c r="AO41" s="116"/>
      <c r="AP41" s="116"/>
      <c r="AQ41" s="116"/>
      <c r="AR41" s="116"/>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row>
    <row r="42" spans="1:71" s="114" customFormat="1" ht="16" customHeight="1">
      <c r="A42" s="360"/>
      <c r="B42" s="39" t="s">
        <v>99</v>
      </c>
      <c r="C42" s="40">
        <v>0</v>
      </c>
      <c r="D42" s="39" t="s">
        <v>99</v>
      </c>
      <c r="E42" s="41">
        <f>C33+C42+C28*C15-C30*C13</f>
        <v>0</v>
      </c>
      <c r="F42" s="39"/>
      <c r="G42" s="117"/>
      <c r="H42" s="113"/>
      <c r="I42" s="113"/>
      <c r="J42" s="113"/>
      <c r="K42" s="113"/>
      <c r="L42" s="113"/>
      <c r="M42" s="113"/>
      <c r="O42" s="118"/>
      <c r="P42" s="118"/>
      <c r="Q42" s="118"/>
      <c r="R42" s="118"/>
      <c r="S42" s="116"/>
      <c r="T42" s="118"/>
      <c r="U42" s="118"/>
      <c r="V42" s="118"/>
      <c r="W42" s="118"/>
      <c r="X42" s="118"/>
      <c r="Y42" s="118"/>
      <c r="Z42" s="118"/>
      <c r="AA42" s="118"/>
      <c r="AB42" s="119"/>
      <c r="AC42" s="116"/>
      <c r="AD42" s="116"/>
      <c r="AE42" s="116"/>
      <c r="AF42" s="116"/>
      <c r="AG42" s="116"/>
      <c r="AH42" s="116"/>
      <c r="AI42" s="119"/>
      <c r="AJ42" s="116"/>
      <c r="AK42" s="116"/>
      <c r="AL42" s="116"/>
      <c r="AM42" s="116"/>
      <c r="AN42" s="119"/>
      <c r="AO42" s="116"/>
      <c r="AP42" s="116"/>
      <c r="AQ42" s="116"/>
      <c r="AR42" s="116"/>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row>
    <row r="43" spans="1:71" s="114" customFormat="1" ht="16" customHeight="1">
      <c r="A43" s="360"/>
      <c r="B43" s="122" t="s">
        <v>100</v>
      </c>
      <c r="C43" s="125">
        <v>0</v>
      </c>
      <c r="D43" s="39" t="s">
        <v>100</v>
      </c>
      <c r="E43" s="41">
        <f>C34+C43+C29*C13-C28*C14</f>
        <v>0</v>
      </c>
      <c r="F43" s="113"/>
      <c r="G43" s="113"/>
      <c r="H43" s="113"/>
      <c r="I43" s="113"/>
      <c r="J43" s="113"/>
      <c r="K43" s="113"/>
      <c r="L43" s="113"/>
      <c r="M43" s="113"/>
      <c r="O43" s="118"/>
      <c r="P43" s="118"/>
      <c r="Q43" s="118"/>
      <c r="R43" s="118"/>
      <c r="S43" s="116"/>
      <c r="T43" s="118"/>
      <c r="U43" s="118"/>
      <c r="V43" s="118"/>
      <c r="W43" s="118"/>
      <c r="X43" s="118"/>
      <c r="Y43" s="118"/>
      <c r="Z43" s="118"/>
      <c r="AA43" s="118"/>
      <c r="AB43" s="119"/>
      <c r="AC43" s="116"/>
      <c r="AD43" s="116"/>
      <c r="AE43" s="116"/>
      <c r="AF43" s="116"/>
      <c r="AG43" s="116"/>
      <c r="AH43" s="116"/>
      <c r="AI43" s="119"/>
      <c r="AJ43" s="116"/>
      <c r="AK43" s="116"/>
      <c r="AL43" s="116"/>
      <c r="AM43" s="116"/>
      <c r="AN43" s="119"/>
      <c r="AO43" s="116"/>
      <c r="AP43" s="116"/>
      <c r="AQ43" s="116"/>
      <c r="AR43" s="116"/>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row>
    <row r="44" spans="1:71" s="50" customFormat="1" ht="16" customHeight="1" thickBot="1">
      <c r="A44" s="361"/>
      <c r="B44" s="55" t="s">
        <v>102</v>
      </c>
      <c r="C44" s="56">
        <v>1</v>
      </c>
      <c r="D44" s="55" t="s">
        <v>102</v>
      </c>
      <c r="E44" s="56">
        <v>1</v>
      </c>
      <c r="F44" s="49"/>
      <c r="G44" s="49"/>
      <c r="H44" s="49"/>
      <c r="I44" s="49"/>
      <c r="J44" s="49"/>
      <c r="K44" s="49"/>
      <c r="L44" s="49"/>
      <c r="M44" s="49"/>
      <c r="O44" s="120"/>
      <c r="P44" s="120"/>
      <c r="Q44" s="120"/>
      <c r="R44" s="120"/>
      <c r="S44" s="52"/>
      <c r="T44" s="120"/>
      <c r="U44" s="120"/>
      <c r="V44" s="120"/>
      <c r="W44" s="120"/>
      <c r="X44" s="120"/>
      <c r="Y44" s="120"/>
      <c r="Z44" s="120"/>
      <c r="AA44" s="120"/>
      <c r="AB44" s="121"/>
      <c r="AC44" s="52"/>
      <c r="AD44" s="52"/>
      <c r="AE44" s="52"/>
      <c r="AF44" s="52"/>
      <c r="AG44" s="52"/>
      <c r="AH44" s="52"/>
      <c r="AI44" s="121"/>
      <c r="AJ44" s="52"/>
      <c r="AK44" s="52"/>
      <c r="AL44" s="52"/>
      <c r="AM44" s="52"/>
      <c r="AN44" s="121"/>
      <c r="AO44" s="52"/>
      <c r="AP44" s="52"/>
      <c r="AQ44" s="52"/>
      <c r="AR44" s="52"/>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row>
    <row r="45" spans="1:71" ht="15" customHeight="1">
      <c r="A45" s="348" t="s">
        <v>308</v>
      </c>
      <c r="B45" s="66" t="s">
        <v>236</v>
      </c>
      <c r="E45" s="1" t="s">
        <v>133</v>
      </c>
    </row>
    <row r="46" spans="1:71" ht="15" customHeight="1">
      <c r="A46" s="348"/>
      <c r="B46" s="12" t="s">
        <v>73</v>
      </c>
      <c r="C46" s="54">
        <f>C24</f>
        <v>-100</v>
      </c>
      <c r="E46" s="336" t="s">
        <v>130</v>
      </c>
      <c r="F46" s="336"/>
      <c r="G46" s="336" t="s">
        <v>131</v>
      </c>
      <c r="H46" s="336"/>
      <c r="N46" s="33" t="s">
        <v>93</v>
      </c>
      <c r="O46" s="1"/>
      <c r="P46" s="65"/>
      <c r="Q46" s="1"/>
      <c r="R46" s="1"/>
      <c r="S46" s="33" t="s">
        <v>128</v>
      </c>
      <c r="Y46" s="90" t="s">
        <v>283</v>
      </c>
    </row>
    <row r="47" spans="1:71" ht="15" customHeight="1">
      <c r="A47" s="348"/>
      <c r="B47" s="12" t="s">
        <v>74</v>
      </c>
      <c r="C47" s="54">
        <f>C25</f>
        <v>0</v>
      </c>
      <c r="E47" s="44" t="s">
        <v>79</v>
      </c>
      <c r="F47" s="46">
        <f>CS_2!B45</f>
        <v>5.0000000000000001E-3</v>
      </c>
      <c r="G47" s="44" t="s">
        <v>79</v>
      </c>
      <c r="H47" s="46">
        <f>CS_2!B52</f>
        <v>0.1</v>
      </c>
      <c r="O47" t="s">
        <v>83</v>
      </c>
      <c r="P47" s="7" t="s">
        <v>84</v>
      </c>
      <c r="Q47" s="25" t="s">
        <v>85</v>
      </c>
      <c r="R47" s="25" t="s">
        <v>86</v>
      </c>
      <c r="T47" t="s">
        <v>83</v>
      </c>
      <c r="U47" s="7" t="s">
        <v>84</v>
      </c>
      <c r="V47" s="25" t="s">
        <v>85</v>
      </c>
      <c r="W47" s="25" t="s">
        <v>86</v>
      </c>
      <c r="Y47" t="s">
        <v>83</v>
      </c>
      <c r="Z47" s="7" t="s">
        <v>84</v>
      </c>
      <c r="AA47" s="25" t="s">
        <v>85</v>
      </c>
      <c r="AB47" s="25" t="s">
        <v>86</v>
      </c>
    </row>
    <row r="48" spans="1:71" ht="15" customHeight="1">
      <c r="A48" s="348"/>
      <c r="B48" s="12" t="s">
        <v>75</v>
      </c>
      <c r="C48" s="54">
        <f>C26</f>
        <v>-200</v>
      </c>
      <c r="E48" s="44" t="s">
        <v>106</v>
      </c>
      <c r="F48" s="46">
        <f>CS_2!B46</f>
        <v>5.0000000000000001E-3</v>
      </c>
      <c r="G48" s="44" t="s">
        <v>106</v>
      </c>
      <c r="H48" s="46">
        <f>CS_2!B53</f>
        <v>0.1</v>
      </c>
      <c r="N48" s="44" t="s">
        <v>79</v>
      </c>
      <c r="O48" s="48">
        <f>ABS(F47)</f>
        <v>5.0000000000000001E-3</v>
      </c>
      <c r="P48" s="48">
        <f>ABS(F50*O62)</f>
        <v>0</v>
      </c>
      <c r="Q48" s="48">
        <f>ABS(F51*P62)</f>
        <v>4.9993747916794009E-3</v>
      </c>
      <c r="R48" s="48">
        <f>ABS(F52*Q62)</f>
        <v>1.1111110694628223E-6</v>
      </c>
      <c r="S48" s="44" t="s">
        <v>79</v>
      </c>
      <c r="T48" s="47">
        <f t="array" ref="T48:W51">ABS(MMULT(T66:W69,O48:R51))</f>
        <v>5.0000000000000001E-3</v>
      </c>
      <c r="U48" s="47">
        <v>0</v>
      </c>
      <c r="V48" s="47">
        <v>4.9993747916794009E-3</v>
      </c>
      <c r="W48" s="47">
        <v>1.1111110694628223E-6</v>
      </c>
      <c r="X48" s="68" t="s">
        <v>79</v>
      </c>
      <c r="Y48" s="47">
        <f>F54+F61</f>
        <v>0</v>
      </c>
      <c r="Z48" s="28">
        <f>F57*O62</f>
        <v>0</v>
      </c>
      <c r="AA48" s="28">
        <f>F58*P62</f>
        <v>3.4620214618488335E-3</v>
      </c>
      <c r="AB48" s="28">
        <f>F59*Q62</f>
        <v>0</v>
      </c>
    </row>
    <row r="49" spans="1:59" ht="15" customHeight="1">
      <c r="A49" s="58">
        <v>2</v>
      </c>
      <c r="B49" s="1" t="s">
        <v>76</v>
      </c>
      <c r="E49" s="44" t="s">
        <v>107</v>
      </c>
      <c r="F49" s="46">
        <f>CS_2!B47</f>
        <v>5.0000000000000001E-3</v>
      </c>
      <c r="G49" s="44" t="s">
        <v>107</v>
      </c>
      <c r="H49" s="46">
        <f>CS_2!B54</f>
        <v>0.1</v>
      </c>
      <c r="N49" s="44" t="s">
        <v>106</v>
      </c>
      <c r="O49" s="48">
        <f t="shared" ref="O49:O50" si="8">ABS(F48)</f>
        <v>5.0000000000000001E-3</v>
      </c>
      <c r="P49" s="48">
        <f>ABS(F50*O63)</f>
        <v>4.9999997916666695E-3</v>
      </c>
      <c r="Q49" s="48">
        <f>ABS(F51*P63)</f>
        <v>0</v>
      </c>
      <c r="R49" s="48">
        <f>ABS(F52*Q63)</f>
        <v>3.3333330864197589E-3</v>
      </c>
      <c r="S49" s="44" t="s">
        <v>106</v>
      </c>
      <c r="T49" s="47">
        <v>5.0000000000000001E-3</v>
      </c>
      <c r="U49" s="47">
        <v>4.9999997916666695E-3</v>
      </c>
      <c r="V49" s="47">
        <v>0</v>
      </c>
      <c r="W49" s="47">
        <v>3.3333330864197589E-3</v>
      </c>
      <c r="X49" s="68" t="s">
        <v>106</v>
      </c>
      <c r="Y49" s="47">
        <f t="shared" ref="Y49:Y50" si="9">F55+F62</f>
        <v>0</v>
      </c>
      <c r="Z49" s="28">
        <f>F57*O63</f>
        <v>0</v>
      </c>
      <c r="AA49" s="28">
        <f>F58*P63</f>
        <v>0</v>
      </c>
      <c r="AB49" s="28">
        <f>F59*Q63</f>
        <v>0</v>
      </c>
    </row>
    <row r="50" spans="1:59" ht="15" customHeight="1">
      <c r="A50" s="41">
        <f>IF(A49&gt;Naxes,0,1)</f>
        <v>1</v>
      </c>
      <c r="B50" s="2" t="s">
        <v>168</v>
      </c>
      <c r="C50" s="35">
        <v>0</v>
      </c>
      <c r="E50" s="4" t="s">
        <v>80</v>
      </c>
      <c r="F50" s="46">
        <f>CS_2!B48</f>
        <v>2.5000000000000001E-5</v>
      </c>
      <c r="G50" s="4" t="s">
        <v>80</v>
      </c>
      <c r="H50" s="46">
        <f>CS_2!B55</f>
        <v>5.0000000000000001E-4</v>
      </c>
      <c r="N50" s="44" t="s">
        <v>107</v>
      </c>
      <c r="O50" s="48">
        <f t="shared" si="8"/>
        <v>5.0000000000000001E-3</v>
      </c>
      <c r="P50" s="48">
        <f>ABS(F50*O64)</f>
        <v>1.2499999741066859E-6</v>
      </c>
      <c r="Q50" s="48">
        <f>ABS(F51*P64)</f>
        <v>2.501249895807689E-3</v>
      </c>
      <c r="R50" s="48">
        <f>ABS(F52*Q64)</f>
        <v>0</v>
      </c>
      <c r="S50" s="44" t="s">
        <v>107</v>
      </c>
      <c r="T50" s="47">
        <v>5.0000000000000001E-3</v>
      </c>
      <c r="U50" s="47">
        <v>1.2499999741066859E-6</v>
      </c>
      <c r="V50" s="47">
        <v>2.501249895807689E-3</v>
      </c>
      <c r="W50" s="47">
        <v>0</v>
      </c>
      <c r="X50" s="68" t="s">
        <v>107</v>
      </c>
      <c r="Y50" s="47">
        <f t="shared" si="9"/>
        <v>-3.2983431009272118E-4</v>
      </c>
      <c r="Z50" s="28">
        <f>F57*O64</f>
        <v>0</v>
      </c>
      <c r="AA50" s="28">
        <f>F58*P64</f>
        <v>-1.7320927479062837E-3</v>
      </c>
      <c r="AB50" s="28">
        <f>F59*Q64</f>
        <v>0</v>
      </c>
    </row>
    <row r="51" spans="1:59" ht="15" customHeight="1">
      <c r="A51" s="346" t="s">
        <v>121</v>
      </c>
      <c r="B51" s="2" t="s">
        <v>170</v>
      </c>
      <c r="C51" s="35">
        <v>0</v>
      </c>
      <c r="E51" s="4" t="s">
        <v>81</v>
      </c>
      <c r="F51" s="46">
        <f>CS_2!B49</f>
        <v>2.5000000000000001E-5</v>
      </c>
      <c r="G51" s="4" t="s">
        <v>81</v>
      </c>
      <c r="H51" s="46">
        <f>CS_2!B56</f>
        <v>5.0000000000000001E-4</v>
      </c>
      <c r="N51" s="6" t="s">
        <v>102</v>
      </c>
      <c r="O51" s="28">
        <v>1</v>
      </c>
      <c r="P51" s="28">
        <v>1</v>
      </c>
      <c r="Q51" s="28">
        <v>1</v>
      </c>
      <c r="R51" s="28">
        <v>1</v>
      </c>
      <c r="S51" s="6" t="s">
        <v>102</v>
      </c>
      <c r="T51" s="47">
        <v>1</v>
      </c>
      <c r="U51" s="47">
        <v>1</v>
      </c>
      <c r="V51" s="47">
        <v>1</v>
      </c>
      <c r="W51" s="47">
        <v>1</v>
      </c>
      <c r="X51" s="6" t="s">
        <v>102</v>
      </c>
      <c r="Y51" s="28">
        <v>1</v>
      </c>
      <c r="Z51" s="28">
        <v>1</v>
      </c>
      <c r="AA51" s="28">
        <v>1</v>
      </c>
      <c r="AB51" s="28">
        <v>1</v>
      </c>
    </row>
    <row r="52" spans="1:59" ht="15" customHeight="1">
      <c r="A52" s="346"/>
      <c r="B52" s="2" t="s">
        <v>169</v>
      </c>
      <c r="C52" s="35">
        <v>0</v>
      </c>
      <c r="E52" s="4" t="s">
        <v>82</v>
      </c>
      <c r="F52" s="46">
        <f>CS_2!B50</f>
        <v>3.3333333333333335E-5</v>
      </c>
      <c r="G52" s="4" t="s">
        <v>82</v>
      </c>
      <c r="H52" s="46">
        <f>CS_2!B57</f>
        <v>6.6666666666666675E-4</v>
      </c>
      <c r="X52" s="6"/>
    </row>
    <row r="53" spans="1:59" ht="30" customHeight="1">
      <c r="A53" s="346"/>
      <c r="B53" s="2" t="s">
        <v>402</v>
      </c>
      <c r="C53" s="324">
        <f>Summary!K16</f>
        <v>0</v>
      </c>
      <c r="D53" s="356" t="s">
        <v>409</v>
      </c>
      <c r="E53" s="347" t="s">
        <v>289</v>
      </c>
      <c r="F53" s="347"/>
      <c r="G53" s="336" t="s">
        <v>237</v>
      </c>
      <c r="H53" s="336"/>
      <c r="I53" s="347" t="s">
        <v>292</v>
      </c>
      <c r="J53" s="347"/>
      <c r="K53" s="347" t="s">
        <v>290</v>
      </c>
      <c r="L53" s="347"/>
      <c r="N53" s="33" t="s">
        <v>94</v>
      </c>
      <c r="O53" s="1"/>
      <c r="P53" s="65"/>
      <c r="Q53" s="1"/>
      <c r="R53" s="1"/>
      <c r="S53" s="33" t="s">
        <v>129</v>
      </c>
      <c r="X53" s="6"/>
      <c r="Y53" s="90" t="s">
        <v>282</v>
      </c>
    </row>
    <row r="54" spans="1:59" ht="15" customHeight="1">
      <c r="A54" s="346"/>
      <c r="B54" s="2" t="s">
        <v>403</v>
      </c>
      <c r="C54" s="326">
        <f>Summary!L16</f>
        <v>800</v>
      </c>
      <c r="D54" s="356"/>
      <c r="E54" s="44" t="s">
        <v>79</v>
      </c>
      <c r="F54" s="47">
        <f>E70/IF(H54=0,1000000000000,H54)</f>
        <v>0</v>
      </c>
      <c r="G54" s="4" t="s">
        <v>111</v>
      </c>
      <c r="H54" s="28">
        <f>CS_2!B25</f>
        <v>2000000</v>
      </c>
      <c r="I54" s="4" t="s">
        <v>80</v>
      </c>
      <c r="J54" s="47">
        <f>A83*F97</f>
        <v>0</v>
      </c>
      <c r="K54" s="4" t="s">
        <v>80</v>
      </c>
      <c r="L54" s="131">
        <f t="array" ref="L54:L57">MMULT(MINVERSE(O66:R69),J54:J57)</f>
        <v>0</v>
      </c>
      <c r="O54" t="s">
        <v>83</v>
      </c>
      <c r="P54" s="7" t="s">
        <v>84</v>
      </c>
      <c r="Q54" s="25" t="s">
        <v>85</v>
      </c>
      <c r="R54" s="25" t="s">
        <v>86</v>
      </c>
      <c r="T54" t="s">
        <v>83</v>
      </c>
      <c r="U54" s="7" t="s">
        <v>84</v>
      </c>
      <c r="V54" s="25" t="s">
        <v>85</v>
      </c>
      <c r="W54" s="25" t="s">
        <v>86</v>
      </c>
      <c r="X54" s="6"/>
      <c r="Y54" t="s">
        <v>83</v>
      </c>
      <c r="Z54" s="7" t="s">
        <v>84</v>
      </c>
      <c r="AA54" s="25" t="s">
        <v>85</v>
      </c>
      <c r="AB54" s="25" t="s">
        <v>86</v>
      </c>
    </row>
    <row r="55" spans="1:59" ht="15" customHeight="1">
      <c r="A55" s="349" t="s">
        <v>425</v>
      </c>
      <c r="B55" s="2" t="s">
        <v>404</v>
      </c>
      <c r="C55" s="325">
        <f>Summary!M16</f>
        <v>0</v>
      </c>
      <c r="D55" s="356"/>
      <c r="E55" s="44" t="s">
        <v>106</v>
      </c>
      <c r="F55" s="47">
        <f t="shared" ref="F55:F56" si="10">E71/IF(H55=0,1000000000000,H55)</f>
        <v>0</v>
      </c>
      <c r="G55" s="4" t="s">
        <v>112</v>
      </c>
      <c r="H55" s="28">
        <f>CS_2!B26</f>
        <v>2000000</v>
      </c>
      <c r="I55" s="4" t="s">
        <v>81</v>
      </c>
      <c r="J55" s="47">
        <f>A83*F98</f>
        <v>-1.7216375473043993E-5</v>
      </c>
      <c r="K55" s="4" t="s">
        <v>81</v>
      </c>
      <c r="L55" s="131">
        <v>-1.7216375473043993E-5</v>
      </c>
      <c r="N55" s="44" t="s">
        <v>79</v>
      </c>
      <c r="O55" s="48">
        <f>H47</f>
        <v>0.1</v>
      </c>
      <c r="P55" s="48">
        <f>H50*O62</f>
        <v>0</v>
      </c>
      <c r="Q55" s="48">
        <f>H51*P62</f>
        <v>-9.9987495833588014E-2</v>
      </c>
      <c r="R55" s="48">
        <f>H52*Q62</f>
        <v>2.2222221389256443E-5</v>
      </c>
      <c r="S55" s="44" t="s">
        <v>79</v>
      </c>
      <c r="T55" s="48">
        <f t="array" ref="T55:T58">MMULT(T66:W69,O55:O58)</f>
        <v>0.1</v>
      </c>
      <c r="U55" s="48">
        <f t="array" ref="U55:U58">MMULT(T66:W69,P55:P58)</f>
        <v>0</v>
      </c>
      <c r="V55" s="48">
        <f t="array" ref="V55:V58">MMULT(T66:W69,Q55:Q58)</f>
        <v>-9.9987495833588014E-2</v>
      </c>
      <c r="W55" s="48">
        <f t="array" ref="W55:W58">MMULT(T66:W69,R55:R58)</f>
        <v>2.2222221389256443E-5</v>
      </c>
      <c r="X55" s="68" t="s">
        <v>79</v>
      </c>
      <c r="Y55" s="28">
        <f t="array" ref="Y55:Y58">MMULT(T66:W69,Y48:Y51)</f>
        <v>0</v>
      </c>
      <c r="Z55" s="28">
        <f t="array" ref="Z55:Z58">MMULT(T66:W69,Z48:Z51)</f>
        <v>0</v>
      </c>
      <c r="AA55" s="28">
        <f t="array" ref="AA55:AA58">MMULT(T66:W69,AA48:AA51)</f>
        <v>3.4620214618488335E-3</v>
      </c>
      <c r="AB55" s="28">
        <f t="array" ref="AB55:AB58">MMULT(T66:W69,AB48:AB51)</f>
        <v>0</v>
      </c>
    </row>
    <row r="56" spans="1:59" ht="15" customHeight="1">
      <c r="A56" s="350"/>
      <c r="B56" s="297" t="s">
        <v>391</v>
      </c>
      <c r="E56" s="44" t="s">
        <v>107</v>
      </c>
      <c r="F56" s="47">
        <f t="shared" si="10"/>
        <v>-2.1000000000000001E-4</v>
      </c>
      <c r="G56" s="4" t="s">
        <v>113</v>
      </c>
      <c r="H56" s="28">
        <f>CS_2!B27</f>
        <v>2000000</v>
      </c>
      <c r="I56" s="4" t="s">
        <v>82</v>
      </c>
      <c r="J56" s="47">
        <f>A83*F99</f>
        <v>0</v>
      </c>
      <c r="K56" s="4" t="s">
        <v>82</v>
      </c>
      <c r="L56" s="131">
        <v>0</v>
      </c>
      <c r="N56" s="44" t="s">
        <v>106</v>
      </c>
      <c r="O56" s="48">
        <f>H48</f>
        <v>0.1</v>
      </c>
      <c r="P56" s="48">
        <f>H50*O63</f>
        <v>9.9999995833333383E-2</v>
      </c>
      <c r="Q56" s="48">
        <f>H51*P63</f>
        <v>0</v>
      </c>
      <c r="R56" s="48">
        <f>H52*Q63</f>
        <v>-6.666666172839518E-2</v>
      </c>
      <c r="S56" s="44" t="s">
        <v>106</v>
      </c>
      <c r="T56" s="48">
        <v>0.1</v>
      </c>
      <c r="U56" s="48">
        <v>9.9999995833333383E-2</v>
      </c>
      <c r="V56" s="48">
        <v>0</v>
      </c>
      <c r="W56" s="48">
        <v>-6.666666172839518E-2</v>
      </c>
      <c r="X56" s="68" t="s">
        <v>106</v>
      </c>
      <c r="Y56" s="28">
        <v>0</v>
      </c>
      <c r="Z56" s="28">
        <v>0</v>
      </c>
      <c r="AA56" s="28">
        <v>0</v>
      </c>
      <c r="AB56" s="28">
        <v>0</v>
      </c>
    </row>
    <row r="57" spans="1:59" ht="15" customHeight="1">
      <c r="A57" s="350"/>
      <c r="B57" s="12" t="s">
        <v>405</v>
      </c>
      <c r="C57" s="30">
        <f>AC66+C53</f>
        <v>-100</v>
      </c>
      <c r="E57" s="4" t="s">
        <v>80</v>
      </c>
      <c r="F57" s="47">
        <f>E74/IF(H57=0,1000000000000,H57)+L54</f>
        <v>0</v>
      </c>
      <c r="G57" s="44" t="s">
        <v>8</v>
      </c>
      <c r="H57" s="28">
        <f>CS_2!B29</f>
        <v>80404375000</v>
      </c>
      <c r="I57" s="4" t="s">
        <v>291</v>
      </c>
      <c r="J57" s="28">
        <v>1</v>
      </c>
      <c r="K57" s="4" t="s">
        <v>291</v>
      </c>
      <c r="L57" s="131">
        <v>1</v>
      </c>
      <c r="N57" s="44" t="s">
        <v>107</v>
      </c>
      <c r="O57" s="48">
        <f>H49</f>
        <v>0.1</v>
      </c>
      <c r="P57" s="48">
        <f>H50*O64</f>
        <v>2.4999999482133717E-5</v>
      </c>
      <c r="Q57" s="48">
        <f>H51*P64</f>
        <v>5.0024997916153779E-2</v>
      </c>
      <c r="R57" s="48">
        <f>H52*Q64</f>
        <v>0</v>
      </c>
      <c r="S57" s="44" t="s">
        <v>107</v>
      </c>
      <c r="T57" s="48">
        <v>0.1</v>
      </c>
      <c r="U57" s="48">
        <v>2.4999999482133717E-5</v>
      </c>
      <c r="V57" s="48">
        <v>5.0024997916153779E-2</v>
      </c>
      <c r="W57" s="48">
        <v>0</v>
      </c>
      <c r="X57" s="68" t="s">
        <v>107</v>
      </c>
      <c r="Y57" s="28">
        <v>-3.2983431009272118E-4</v>
      </c>
      <c r="Z57" s="28">
        <v>0</v>
      </c>
      <c r="AA57" s="28">
        <v>-1.7320927479062837E-3</v>
      </c>
      <c r="AB57" s="28">
        <v>0</v>
      </c>
    </row>
    <row r="58" spans="1:59" ht="15" customHeight="1">
      <c r="A58" s="350"/>
      <c r="B58" s="12" t="s">
        <v>406</v>
      </c>
      <c r="C58" s="30">
        <f>AC67+C54</f>
        <v>800</v>
      </c>
      <c r="E58" s="4" t="s">
        <v>81</v>
      </c>
      <c r="F58" s="47">
        <f t="shared" ref="F58:F59" si="11">E75/IF(H58=0,1000000000000,H58)+L55</f>
        <v>-1.7312272064552815E-5</v>
      </c>
      <c r="G58" s="44" t="s">
        <v>114</v>
      </c>
      <c r="H58" s="28">
        <f>CS_2!B30</f>
        <v>125134791666.66667</v>
      </c>
      <c r="N58" s="6" t="s">
        <v>102</v>
      </c>
      <c r="O58" s="28">
        <v>1</v>
      </c>
      <c r="P58" s="28">
        <v>1</v>
      </c>
      <c r="Q58" s="28">
        <v>1</v>
      </c>
      <c r="R58" s="28">
        <v>1</v>
      </c>
      <c r="S58" s="6" t="s">
        <v>102</v>
      </c>
      <c r="T58" s="28">
        <v>1</v>
      </c>
      <c r="U58" s="28">
        <v>1</v>
      </c>
      <c r="V58" s="28">
        <v>1</v>
      </c>
      <c r="W58" s="28">
        <v>1</v>
      </c>
      <c r="X58" s="6" t="s">
        <v>102</v>
      </c>
      <c r="Y58" s="28">
        <v>1</v>
      </c>
      <c r="Z58" s="28">
        <v>1</v>
      </c>
      <c r="AA58" s="28">
        <v>1</v>
      </c>
      <c r="AB58" s="28">
        <v>1</v>
      </c>
    </row>
    <row r="59" spans="1:59" ht="15" customHeight="1">
      <c r="A59" s="350"/>
      <c r="B59" s="12" t="s">
        <v>407</v>
      </c>
      <c r="C59" s="30">
        <f>AC68+C55</f>
        <v>-200</v>
      </c>
      <c r="E59" s="4" t="s">
        <v>82</v>
      </c>
      <c r="F59" s="47">
        <f t="shared" si="11"/>
        <v>0</v>
      </c>
      <c r="G59" s="44" t="s">
        <v>110</v>
      </c>
      <c r="H59" s="28">
        <f>CS_2!B31</f>
        <v>45134791666.666664</v>
      </c>
      <c r="AB59" s="5"/>
      <c r="AU59" s="5" t="s">
        <v>67</v>
      </c>
      <c r="AZ59" s="5" t="s">
        <v>87</v>
      </c>
      <c r="BE59" s="5" t="s">
        <v>92</v>
      </c>
    </row>
    <row r="60" spans="1:59" ht="34">
      <c r="A60" s="350"/>
      <c r="B60" s="67" t="s">
        <v>101</v>
      </c>
      <c r="E60" s="336" t="s">
        <v>280</v>
      </c>
      <c r="F60" s="352"/>
      <c r="G60" s="353" t="s">
        <v>279</v>
      </c>
      <c r="H60" s="354"/>
      <c r="I60" s="354"/>
      <c r="J60" s="354"/>
      <c r="K60" s="354"/>
      <c r="L60" s="355"/>
      <c r="M60" s="89" t="s">
        <v>281</v>
      </c>
      <c r="N60" s="82" t="s">
        <v>234</v>
      </c>
      <c r="AE60" s="43" t="s">
        <v>214</v>
      </c>
      <c r="AF60" s="295">
        <f>CS_2!B60</f>
        <v>5.0000000000000001E-4</v>
      </c>
      <c r="AG60" s="43"/>
      <c r="AH60" s="43"/>
      <c r="AI60" s="43"/>
      <c r="AJ60" s="43" t="s">
        <v>88</v>
      </c>
      <c r="AK60" s="296">
        <f>CS_2!B61</f>
        <v>5.0000000000000001E-4</v>
      </c>
      <c r="AL60" s="7"/>
      <c r="AM60" s="7"/>
      <c r="AN60" s="43"/>
      <c r="AO60" s="43" t="s">
        <v>213</v>
      </c>
      <c r="AP60" s="295">
        <f>CS_2!B62</f>
        <v>6.6666666666666675E-4</v>
      </c>
      <c r="AU60" s="7" t="s">
        <v>0</v>
      </c>
      <c r="AV60" s="7" t="s">
        <v>1</v>
      </c>
      <c r="AW60" s="7" t="s">
        <v>2</v>
      </c>
      <c r="AZ60" s="7" t="s">
        <v>0</v>
      </c>
      <c r="BA60" s="7" t="s">
        <v>1</v>
      </c>
      <c r="BB60" s="7" t="s">
        <v>2</v>
      </c>
      <c r="BE60" s="7" t="s">
        <v>0</v>
      </c>
      <c r="BF60" s="7" t="s">
        <v>1</v>
      </c>
      <c r="BG60" s="7" t="s">
        <v>2</v>
      </c>
    </row>
    <row r="61" spans="1:59" ht="15" customHeight="1">
      <c r="A61" s="350"/>
      <c r="B61" s="39" t="s">
        <v>95</v>
      </c>
      <c r="C61" s="41">
        <f t="array" ref="C61:C64">MMULT(O33:R36,E37:E40)</f>
        <v>0</v>
      </c>
      <c r="E61" s="44" t="s">
        <v>79</v>
      </c>
      <c r="F61" s="47">
        <f t="array" ref="F61:F66">MMULT(G61:L66,M61:M66)</f>
        <v>0</v>
      </c>
      <c r="G61" s="124">
        <f>CS_2!G5</f>
        <v>0</v>
      </c>
      <c r="H61" s="124">
        <f>CS_2!H5</f>
        <v>0</v>
      </c>
      <c r="I61" s="124">
        <f>CS_2!I5</f>
        <v>0</v>
      </c>
      <c r="J61" s="124">
        <f>CS_2!J5</f>
        <v>0</v>
      </c>
      <c r="K61" s="124">
        <f>CS_2!K5</f>
        <v>0</v>
      </c>
      <c r="L61" s="124">
        <f>CS_2!L5</f>
        <v>0</v>
      </c>
      <c r="M61" s="28">
        <f>C61</f>
        <v>0</v>
      </c>
      <c r="O61" s="7" t="s">
        <v>4</v>
      </c>
      <c r="P61" s="25" t="s">
        <v>5</v>
      </c>
      <c r="Q61" s="25" t="s">
        <v>6</v>
      </c>
      <c r="R61" s="25"/>
      <c r="S61" s="25"/>
      <c r="T61" s="25"/>
      <c r="U61" s="25"/>
      <c r="V61" s="25"/>
      <c r="W61" s="25"/>
      <c r="X61" s="25"/>
      <c r="Y61" s="25"/>
      <c r="Z61" s="25"/>
      <c r="AA61" s="25"/>
      <c r="AB61" t="s">
        <v>66</v>
      </c>
      <c r="AC61" s="28">
        <f>C46</f>
        <v>-100</v>
      </c>
      <c r="AD61" s="28"/>
      <c r="AE61" s="76">
        <v>1</v>
      </c>
      <c r="AF61" s="47">
        <v>0</v>
      </c>
      <c r="AG61" s="47">
        <v>0</v>
      </c>
      <c r="AH61" s="77">
        <v>0</v>
      </c>
      <c r="AI61" s="78"/>
      <c r="AJ61" s="47">
        <f>COS(AK60)</f>
        <v>0.99999987500000265</v>
      </c>
      <c r="AK61" s="47">
        <v>0</v>
      </c>
      <c r="AL61" s="47">
        <f>-AJ63</f>
        <v>4.999999791666669E-4</v>
      </c>
      <c r="AM61" s="47">
        <v>0</v>
      </c>
      <c r="AN61" s="78"/>
      <c r="AO61" s="47">
        <f>COS(AP60)</f>
        <v>0.99999977777778604</v>
      </c>
      <c r="AP61" s="47">
        <f>-AO62</f>
        <v>-6.6666661728395182E-4</v>
      </c>
      <c r="AQ61" s="47">
        <v>0</v>
      </c>
      <c r="AR61" s="47">
        <v>0</v>
      </c>
      <c r="AS61" s="78"/>
      <c r="AT61" s="28" t="s">
        <v>63</v>
      </c>
      <c r="AU61" s="47">
        <f t="array" ref="AU61:AU64">MMULT(AE61:AH64,$AC61:$AC64)</f>
        <v>-100</v>
      </c>
      <c r="AV61" s="47">
        <f>AU61-$AC61</f>
        <v>0</v>
      </c>
      <c r="AW61" s="47">
        <f>AV61/AF60</f>
        <v>0</v>
      </c>
      <c r="AX61" s="78"/>
      <c r="AY61" s="28" t="s">
        <v>63</v>
      </c>
      <c r="AZ61" s="47">
        <f t="array" ref="AZ61:AZ64">MMULT(AJ61:AM64,$AC61:$AC64)</f>
        <v>-100.09998749583359</v>
      </c>
      <c r="BA61" s="47">
        <f>AZ61-$AC61</f>
        <v>-9.9987495833588014E-2</v>
      </c>
      <c r="BB61" s="47">
        <f>BA61/AK60</f>
        <v>-199.97499166717603</v>
      </c>
      <c r="BC61" s="78"/>
      <c r="BD61" s="28" t="s">
        <v>63</v>
      </c>
      <c r="BE61" s="47">
        <f t="array" ref="BE61:BE64">MMULT(AO61:AR64,$AC61:$AC64)</f>
        <v>-99.999977777778611</v>
      </c>
      <c r="BF61" s="47">
        <f>BE61-$AC61</f>
        <v>2.2222221389256447E-5</v>
      </c>
      <c r="BG61" s="47">
        <f>BF61/AP60</f>
        <v>3.3333332083884663E-2</v>
      </c>
    </row>
    <row r="62" spans="1:59" ht="17">
      <c r="A62" s="350"/>
      <c r="B62" s="39" t="s">
        <v>96</v>
      </c>
      <c r="C62" s="41">
        <v>0</v>
      </c>
      <c r="E62" s="44" t="s">
        <v>106</v>
      </c>
      <c r="F62" s="47">
        <v>0</v>
      </c>
      <c r="G62" s="124">
        <f>CS_2!G6</f>
        <v>0</v>
      </c>
      <c r="H62" s="124">
        <f>CS_2!H6</f>
        <v>0</v>
      </c>
      <c r="I62" s="124">
        <f>CS_2!I6</f>
        <v>0</v>
      </c>
      <c r="J62" s="124">
        <f>CS_2!J6</f>
        <v>0</v>
      </c>
      <c r="K62" s="124">
        <f>CS_2!K6</f>
        <v>0</v>
      </c>
      <c r="L62" s="124">
        <f>CS_2!L6</f>
        <v>0</v>
      </c>
      <c r="M62" s="28">
        <f t="shared" ref="M62:M63" si="12">C62</f>
        <v>0</v>
      </c>
      <c r="N62" s="44" t="s">
        <v>79</v>
      </c>
      <c r="O62" s="30">
        <f>AW61</f>
        <v>0</v>
      </c>
      <c r="P62" s="30">
        <f>BB61</f>
        <v>-199.97499166717603</v>
      </c>
      <c r="Q62" s="30">
        <f>BG61</f>
        <v>3.3333332083884663E-2</v>
      </c>
      <c r="AB62" t="s">
        <v>71</v>
      </c>
      <c r="AC62" s="28">
        <f>C47</f>
        <v>0</v>
      </c>
      <c r="AD62" s="28"/>
      <c r="AE62" s="76">
        <v>0</v>
      </c>
      <c r="AF62" s="47">
        <f>COS(AF60)</f>
        <v>0.99999987500000265</v>
      </c>
      <c r="AG62" s="47">
        <f>-SIN(AF60)</f>
        <v>-4.999999791666669E-4</v>
      </c>
      <c r="AH62" s="77">
        <v>0</v>
      </c>
      <c r="AI62" s="78"/>
      <c r="AJ62" s="47">
        <v>0</v>
      </c>
      <c r="AK62" s="47">
        <v>1</v>
      </c>
      <c r="AL62" s="47">
        <v>0</v>
      </c>
      <c r="AM62" s="47">
        <v>0</v>
      </c>
      <c r="AN62" s="78"/>
      <c r="AO62" s="47">
        <f>SIN(AP60)</f>
        <v>6.6666661728395182E-4</v>
      </c>
      <c r="AP62" s="47">
        <f>AO61</f>
        <v>0.99999977777778604</v>
      </c>
      <c r="AQ62" s="47">
        <v>0</v>
      </c>
      <c r="AR62" s="47">
        <v>0</v>
      </c>
      <c r="AS62" s="78"/>
      <c r="AT62" s="28" t="s">
        <v>64</v>
      </c>
      <c r="AU62" s="47">
        <v>9.9999995833333383E-2</v>
      </c>
      <c r="AV62" s="47">
        <f>AU62-$AC62</f>
        <v>9.9999995833333383E-2</v>
      </c>
      <c r="AW62" s="47">
        <f>AV62/AF60</f>
        <v>199.99999166666677</v>
      </c>
      <c r="AX62" s="78"/>
      <c r="AY62" s="28" t="s">
        <v>64</v>
      </c>
      <c r="AZ62" s="47">
        <v>0</v>
      </c>
      <c r="BA62" s="47">
        <f>AZ62-$AC62</f>
        <v>0</v>
      </c>
      <c r="BB62" s="47">
        <f>BA62/AK60</f>
        <v>0</v>
      </c>
      <c r="BC62" s="78"/>
      <c r="BD62" s="28" t="s">
        <v>64</v>
      </c>
      <c r="BE62" s="47">
        <v>-6.666666172839518E-2</v>
      </c>
      <c r="BF62" s="47">
        <f>BE62-$AC62</f>
        <v>-6.666666172839518E-2</v>
      </c>
      <c r="BG62" s="47">
        <f>BF62/AP60</f>
        <v>-99.999992592592761</v>
      </c>
    </row>
    <row r="63" spans="1:59" ht="17">
      <c r="A63" s="350"/>
      <c r="B63" s="39" t="s">
        <v>97</v>
      </c>
      <c r="C63" s="41">
        <v>-120</v>
      </c>
      <c r="E63" s="44" t="s">
        <v>107</v>
      </c>
      <c r="F63" s="47">
        <v>-1.1983431009272119E-4</v>
      </c>
      <c r="G63" s="124">
        <f>CS_2!G7</f>
        <v>0</v>
      </c>
      <c r="H63" s="124">
        <f>CS_2!H7</f>
        <v>0</v>
      </c>
      <c r="I63" s="124">
        <f>CS_2!I7</f>
        <v>9.9861925077267659E-7</v>
      </c>
      <c r="J63" s="124">
        <f>CS_2!J7</f>
        <v>0</v>
      </c>
      <c r="K63" s="124">
        <f>CS_2!K7</f>
        <v>0</v>
      </c>
      <c r="L63" s="124">
        <f>CS_2!L7</f>
        <v>0</v>
      </c>
      <c r="M63" s="28">
        <f t="shared" si="12"/>
        <v>-120</v>
      </c>
      <c r="N63" s="44" t="s">
        <v>106</v>
      </c>
      <c r="O63" s="30">
        <f t="shared" ref="O63:O64" si="13">AW62</f>
        <v>199.99999166666677</v>
      </c>
      <c r="P63" s="30">
        <f t="shared" ref="P63:P64" si="14">BB62</f>
        <v>0</v>
      </c>
      <c r="Q63" s="30">
        <f t="shared" ref="Q63:Q64" si="15">BG62</f>
        <v>-99.999992592592761</v>
      </c>
      <c r="AB63" t="s">
        <v>72</v>
      </c>
      <c r="AC63" s="28">
        <f>C48</f>
        <v>-200</v>
      </c>
      <c r="AD63" s="28"/>
      <c r="AE63" s="76">
        <v>0</v>
      </c>
      <c r="AF63" s="47">
        <f>-AG62</f>
        <v>4.999999791666669E-4</v>
      </c>
      <c r="AG63" s="47">
        <f>AF62</f>
        <v>0.99999987500000265</v>
      </c>
      <c r="AH63" s="77">
        <v>0</v>
      </c>
      <c r="AI63" s="78"/>
      <c r="AJ63" s="47">
        <f>-SIN(AK60)</f>
        <v>-4.999999791666669E-4</v>
      </c>
      <c r="AK63" s="47">
        <v>0</v>
      </c>
      <c r="AL63" s="47">
        <f>COS(AK60)</f>
        <v>0.99999987500000265</v>
      </c>
      <c r="AM63" s="47">
        <v>0</v>
      </c>
      <c r="AN63" s="78"/>
      <c r="AO63" s="47">
        <v>0</v>
      </c>
      <c r="AP63" s="47">
        <v>0</v>
      </c>
      <c r="AQ63" s="47">
        <v>1</v>
      </c>
      <c r="AR63" s="47">
        <v>0</v>
      </c>
      <c r="AS63" s="78"/>
      <c r="AT63" s="28" t="s">
        <v>65</v>
      </c>
      <c r="AU63" s="47">
        <v>-199.99997500000052</v>
      </c>
      <c r="AV63" s="47">
        <f>AU63-$AC63</f>
        <v>2.4999999482133717E-5</v>
      </c>
      <c r="AW63" s="47">
        <f>AV63/AF60</f>
        <v>4.9999998964267434E-2</v>
      </c>
      <c r="AX63" s="78"/>
      <c r="AY63" s="28" t="s">
        <v>65</v>
      </c>
      <c r="AZ63" s="47">
        <v>-199.94997500208385</v>
      </c>
      <c r="BA63" s="47">
        <f>AZ63-$AC63</f>
        <v>5.0024997916153779E-2</v>
      </c>
      <c r="BB63" s="47">
        <f>BA63/AK60</f>
        <v>100.04999583230756</v>
      </c>
      <c r="BC63" s="78"/>
      <c r="BD63" s="28" t="s">
        <v>65</v>
      </c>
      <c r="BE63" s="47">
        <v>-200</v>
      </c>
      <c r="BF63" s="47">
        <f>BE63-$AC63</f>
        <v>0</v>
      </c>
      <c r="BG63" s="47">
        <f>BF63/AP60</f>
        <v>0</v>
      </c>
    </row>
    <row r="64" spans="1:59" ht="15" customHeight="1">
      <c r="A64" s="350"/>
      <c r="B64" s="39" t="s">
        <v>102</v>
      </c>
      <c r="C64" s="41">
        <v>1</v>
      </c>
      <c r="E64" s="4" t="s">
        <v>80</v>
      </c>
      <c r="F64" s="47">
        <v>0</v>
      </c>
      <c r="G64" s="124">
        <f>CS_2!G8</f>
        <v>0</v>
      </c>
      <c r="H64" s="124">
        <f>CS_2!H8</f>
        <v>0</v>
      </c>
      <c r="I64" s="124">
        <f>CS_2!I8</f>
        <v>0</v>
      </c>
      <c r="J64" s="124">
        <f>CS_2!J8</f>
        <v>2.8595808523244429E-9</v>
      </c>
      <c r="K64" s="124">
        <f>CS_2!K8</f>
        <v>0</v>
      </c>
      <c r="L64" s="124">
        <f>CS_2!L8</f>
        <v>0</v>
      </c>
      <c r="M64" s="28">
        <f>C65</f>
        <v>0</v>
      </c>
      <c r="N64" s="44" t="s">
        <v>107</v>
      </c>
      <c r="O64" s="30">
        <f t="shared" si="13"/>
        <v>4.9999998964267434E-2</v>
      </c>
      <c r="P64" s="30">
        <f t="shared" si="14"/>
        <v>100.04999583230756</v>
      </c>
      <c r="Q64" s="30">
        <f t="shared" si="15"/>
        <v>0</v>
      </c>
      <c r="AC64" s="28">
        <v>1</v>
      </c>
      <c r="AD64" s="28"/>
      <c r="AE64" s="76">
        <v>0</v>
      </c>
      <c r="AF64" s="47">
        <v>0</v>
      </c>
      <c r="AG64" s="47">
        <v>0</v>
      </c>
      <c r="AH64" s="77">
        <v>1</v>
      </c>
      <c r="AI64" s="78"/>
      <c r="AJ64" s="47">
        <v>0</v>
      </c>
      <c r="AK64" s="47">
        <v>0</v>
      </c>
      <c r="AL64" s="47">
        <v>0</v>
      </c>
      <c r="AM64" s="47">
        <v>1</v>
      </c>
      <c r="AN64" s="78"/>
      <c r="AO64" s="47">
        <v>0</v>
      </c>
      <c r="AP64" s="47">
        <v>0</v>
      </c>
      <c r="AQ64" s="47">
        <v>0</v>
      </c>
      <c r="AR64" s="47">
        <v>1</v>
      </c>
      <c r="AS64" s="78"/>
      <c r="AT64" s="28"/>
      <c r="AU64" s="47">
        <v>1</v>
      </c>
      <c r="AV64" s="47"/>
      <c r="AW64" s="47"/>
      <c r="AX64" s="78"/>
      <c r="AY64" s="28"/>
      <c r="AZ64" s="47">
        <v>1</v>
      </c>
      <c r="BA64" s="47"/>
      <c r="BB64" s="47"/>
      <c r="BC64" s="78"/>
      <c r="BD64" s="28"/>
      <c r="BE64" s="47">
        <v>1</v>
      </c>
      <c r="BF64" s="47"/>
      <c r="BG64" s="47"/>
    </row>
    <row r="65" spans="1:44" ht="15" customHeight="1">
      <c r="A65" s="350"/>
      <c r="B65" s="39" t="s">
        <v>98</v>
      </c>
      <c r="C65" s="41">
        <f t="array" ref="C65:C68">MMULT(O33:R36,E41:E44)</f>
        <v>0</v>
      </c>
      <c r="E65" s="4" t="s">
        <v>81</v>
      </c>
      <c r="F65" s="47">
        <v>0</v>
      </c>
      <c r="G65" s="124">
        <f>CS_2!G9</f>
        <v>0</v>
      </c>
      <c r="H65" s="124">
        <f>CS_2!H9</f>
        <v>0</v>
      </c>
      <c r="I65" s="124">
        <f>CS_2!I9</f>
        <v>0</v>
      </c>
      <c r="J65" s="124">
        <f>CS_2!J9</f>
        <v>0</v>
      </c>
      <c r="K65" s="124">
        <f>CS_2!K9</f>
        <v>2.8595808523244429E-9</v>
      </c>
      <c r="L65" s="124">
        <f>CS_2!L9</f>
        <v>0</v>
      </c>
      <c r="M65" s="28">
        <f>C66</f>
        <v>0</v>
      </c>
      <c r="O65" s="3" t="s">
        <v>77</v>
      </c>
      <c r="T65" s="3" t="s">
        <v>78</v>
      </c>
      <c r="AE65" t="s">
        <v>90</v>
      </c>
      <c r="AJ65" t="s">
        <v>89</v>
      </c>
      <c r="AO65" t="s">
        <v>91</v>
      </c>
    </row>
    <row r="66" spans="1:44" ht="15" customHeight="1">
      <c r="A66" s="350"/>
      <c r="B66" s="39" t="s">
        <v>99</v>
      </c>
      <c r="C66" s="41">
        <v>0</v>
      </c>
      <c r="E66" s="4" t="s">
        <v>82</v>
      </c>
      <c r="F66" s="47">
        <v>0</v>
      </c>
      <c r="G66" s="124">
        <f>CS_2!G10</f>
        <v>0</v>
      </c>
      <c r="H66" s="124">
        <f>CS_2!H10</f>
        <v>0</v>
      </c>
      <c r="I66" s="124">
        <f>CS_2!I10</f>
        <v>0</v>
      </c>
      <c r="J66" s="124">
        <f>CS_2!J10</f>
        <v>0</v>
      </c>
      <c r="K66" s="124">
        <f>CS_2!K10</f>
        <v>0</v>
      </c>
      <c r="L66" s="124">
        <f>CS_2!L10</f>
        <v>5.5332889492477968E-9</v>
      </c>
      <c r="M66" s="28">
        <f>C67</f>
        <v>0</v>
      </c>
      <c r="O66" s="30">
        <f t="array" ref="O66:R69">MMULT(AO66:AR69,MMULT(AJ66:AM69,AE66:AH69))</f>
        <v>1</v>
      </c>
      <c r="P66" s="30">
        <v>0</v>
      </c>
      <c r="Q66" s="30">
        <v>0</v>
      </c>
      <c r="R66" s="30">
        <v>0</v>
      </c>
      <c r="S66" s="11"/>
      <c r="T66" s="30">
        <f t="array" ref="T66:W69">IF(A87=1,MMULT(T99:W102,O66:R69),T$363:W$366)</f>
        <v>1</v>
      </c>
      <c r="U66" s="30">
        <v>0</v>
      </c>
      <c r="V66" s="30">
        <v>0</v>
      </c>
      <c r="W66" s="30">
        <v>0</v>
      </c>
      <c r="X66" s="30"/>
      <c r="Y66" s="30"/>
      <c r="Z66" s="30"/>
      <c r="AA66" s="30"/>
      <c r="AB66" t="s">
        <v>68</v>
      </c>
      <c r="AC66" s="28">
        <f t="array" ref="AC66:AC69">MMULT(O66:R69,AC61:AC64)</f>
        <v>-100</v>
      </c>
      <c r="AD66" s="28"/>
      <c r="AE66" s="27">
        <v>1</v>
      </c>
      <c r="AF66" s="28">
        <v>0</v>
      </c>
      <c r="AG66" s="28">
        <v>0</v>
      </c>
      <c r="AH66" s="29">
        <v>0</v>
      </c>
      <c r="AJ66" s="27">
        <f>COS(PI()*C51/180)</f>
        <v>1</v>
      </c>
      <c r="AK66" s="28">
        <v>0</v>
      </c>
      <c r="AL66" s="28">
        <f>SIN(PI()*C51/180)</f>
        <v>0</v>
      </c>
      <c r="AM66" s="29">
        <v>0</v>
      </c>
      <c r="AO66" s="27">
        <f>COS(PI()*C52/180)</f>
        <v>1</v>
      </c>
      <c r="AP66" s="28">
        <f>-SIN(PI()*C52/180)</f>
        <v>0</v>
      </c>
      <c r="AQ66" s="28">
        <v>0</v>
      </c>
      <c r="AR66" s="29">
        <v>0</v>
      </c>
    </row>
    <row r="67" spans="1:44" ht="15" customHeight="1">
      <c r="A67" s="350"/>
      <c r="B67" s="39" t="s">
        <v>100</v>
      </c>
      <c r="C67" s="41">
        <v>0</v>
      </c>
      <c r="I67" s="105"/>
      <c r="J67" s="117"/>
      <c r="K67" s="117"/>
      <c r="L67" s="117"/>
      <c r="M67" s="117"/>
      <c r="O67" s="30">
        <v>0</v>
      </c>
      <c r="P67" s="30">
        <v>1</v>
      </c>
      <c r="Q67" s="30">
        <v>0</v>
      </c>
      <c r="R67" s="30">
        <v>0</v>
      </c>
      <c r="S67" s="11"/>
      <c r="T67" s="30">
        <v>0</v>
      </c>
      <c r="U67" s="30">
        <v>1</v>
      </c>
      <c r="V67" s="30">
        <v>0</v>
      </c>
      <c r="W67" s="30">
        <v>0</v>
      </c>
      <c r="X67" s="30"/>
      <c r="Y67" s="30"/>
      <c r="Z67" s="30"/>
      <c r="AA67" s="30"/>
      <c r="AB67" t="s">
        <v>69</v>
      </c>
      <c r="AC67" s="28">
        <v>0</v>
      </c>
      <c r="AD67" s="28"/>
      <c r="AE67" s="27">
        <v>0</v>
      </c>
      <c r="AF67" s="28">
        <f>COS(PI()*C50/180)</f>
        <v>1</v>
      </c>
      <c r="AG67" s="28">
        <f>-SIN(PI()*C50/180)</f>
        <v>0</v>
      </c>
      <c r="AH67" s="29">
        <v>0</v>
      </c>
      <c r="AJ67" s="27">
        <v>0</v>
      </c>
      <c r="AK67" s="28">
        <v>1</v>
      </c>
      <c r="AL67" s="28">
        <v>0</v>
      </c>
      <c r="AM67" s="29">
        <v>0</v>
      </c>
      <c r="AO67" s="27">
        <f>SIN(PI()*C52/180)</f>
        <v>0</v>
      </c>
      <c r="AP67" s="28">
        <f>AO66</f>
        <v>1</v>
      </c>
      <c r="AQ67" s="28">
        <v>0</v>
      </c>
      <c r="AR67" s="29">
        <v>0</v>
      </c>
    </row>
    <row r="68" spans="1:44" ht="15" customHeight="1">
      <c r="A68" s="350"/>
      <c r="B68" s="39" t="s">
        <v>102</v>
      </c>
      <c r="C68" s="41">
        <v>1</v>
      </c>
      <c r="I68" s="105"/>
      <c r="J68" s="117"/>
      <c r="K68" s="117"/>
      <c r="L68" s="117"/>
      <c r="M68" s="117"/>
      <c r="O68" s="30">
        <v>0</v>
      </c>
      <c r="P68" s="30">
        <v>0</v>
      </c>
      <c r="Q68" s="30">
        <v>1</v>
      </c>
      <c r="R68" s="30">
        <v>0</v>
      </c>
      <c r="S68" s="11"/>
      <c r="T68" s="30">
        <v>0</v>
      </c>
      <c r="U68" s="30">
        <v>0</v>
      </c>
      <c r="V68" s="30">
        <v>1</v>
      </c>
      <c r="W68" s="30">
        <v>0</v>
      </c>
      <c r="X68" s="30"/>
      <c r="Y68" s="30"/>
      <c r="Z68" s="30"/>
      <c r="AA68" s="30"/>
      <c r="AB68" t="s">
        <v>70</v>
      </c>
      <c r="AC68" s="28">
        <v>-200</v>
      </c>
      <c r="AD68" s="28"/>
      <c r="AE68" s="27">
        <v>0</v>
      </c>
      <c r="AF68" s="28">
        <f>SIN(PI()*C50/180)</f>
        <v>0</v>
      </c>
      <c r="AG68" s="28">
        <f>AF67</f>
        <v>1</v>
      </c>
      <c r="AH68" s="29">
        <v>0</v>
      </c>
      <c r="AJ68" s="27">
        <f>-SIN(PI()*C51/180)</f>
        <v>0</v>
      </c>
      <c r="AK68" s="28">
        <v>0</v>
      </c>
      <c r="AL68" s="28">
        <f>AJ66</f>
        <v>1</v>
      </c>
      <c r="AM68" s="29">
        <v>0</v>
      </c>
      <c r="AO68" s="27">
        <v>0</v>
      </c>
      <c r="AP68" s="28">
        <v>0</v>
      </c>
      <c r="AQ68" s="28">
        <v>1</v>
      </c>
      <c r="AR68" s="29">
        <v>0</v>
      </c>
    </row>
    <row r="69" spans="1:44" s="114" customFormat="1">
      <c r="A69" s="350"/>
      <c r="B69" s="75" t="s">
        <v>173</v>
      </c>
      <c r="C69"/>
      <c r="D69" s="87" t="s">
        <v>232</v>
      </c>
      <c r="E69"/>
      <c r="F69"/>
      <c r="G69" s="38"/>
      <c r="I69" s="119"/>
      <c r="J69" s="126"/>
      <c r="K69" s="126"/>
      <c r="L69" s="126"/>
      <c r="M69" s="126"/>
      <c r="O69" s="115">
        <v>0</v>
      </c>
      <c r="P69" s="115">
        <v>0</v>
      </c>
      <c r="Q69" s="115">
        <v>0</v>
      </c>
      <c r="R69" s="115">
        <v>1</v>
      </c>
      <c r="S69" s="116"/>
      <c r="T69" s="115">
        <v>0</v>
      </c>
      <c r="U69" s="115">
        <v>0</v>
      </c>
      <c r="V69" s="115">
        <v>0</v>
      </c>
      <c r="W69" s="115">
        <v>1</v>
      </c>
      <c r="X69" s="115"/>
      <c r="Y69" s="115"/>
      <c r="Z69" s="115"/>
      <c r="AA69" s="115"/>
      <c r="AC69" s="31">
        <v>1</v>
      </c>
      <c r="AD69" s="31"/>
      <c r="AE69" s="31">
        <v>0</v>
      </c>
      <c r="AF69" s="31">
        <v>0</v>
      </c>
      <c r="AG69" s="31">
        <v>0</v>
      </c>
      <c r="AH69" s="31">
        <v>1</v>
      </c>
      <c r="AJ69" s="31">
        <v>0</v>
      </c>
      <c r="AK69" s="31">
        <v>0</v>
      </c>
      <c r="AL69" s="31">
        <v>0</v>
      </c>
      <c r="AM69" s="31">
        <v>1</v>
      </c>
      <c r="AO69" s="31">
        <v>0</v>
      </c>
      <c r="AP69" s="31">
        <v>0</v>
      </c>
      <c r="AQ69" s="31">
        <v>0</v>
      </c>
      <c r="AR69" s="31">
        <v>1</v>
      </c>
    </row>
    <row r="70" spans="1:44" s="114" customFormat="1" ht="17">
      <c r="A70" s="350"/>
      <c r="B70" s="39" t="s">
        <v>95</v>
      </c>
      <c r="C70" s="40">
        <v>0</v>
      </c>
      <c r="D70" s="39" t="s">
        <v>95</v>
      </c>
      <c r="E70" s="41">
        <f>C61+C70</f>
        <v>0</v>
      </c>
      <c r="H70" s="122"/>
      <c r="I70" s="126"/>
      <c r="J70" s="126"/>
      <c r="K70" s="126"/>
      <c r="L70" s="126"/>
      <c r="M70" s="126"/>
      <c r="O70" s="115"/>
      <c r="P70" s="115"/>
      <c r="Q70" s="115"/>
      <c r="R70" s="115"/>
      <c r="S70" s="116"/>
      <c r="T70" s="115"/>
      <c r="U70" s="115"/>
      <c r="V70" s="115"/>
      <c r="W70" s="115"/>
      <c r="X70" s="115"/>
      <c r="Y70" s="115"/>
      <c r="Z70" s="115"/>
      <c r="AA70" s="115"/>
      <c r="AC70" s="31"/>
      <c r="AD70" s="31"/>
      <c r="AE70" s="31"/>
      <c r="AF70" s="31"/>
      <c r="AG70" s="31"/>
      <c r="AH70" s="31"/>
      <c r="AJ70" s="31"/>
      <c r="AK70" s="31"/>
      <c r="AL70" s="31"/>
      <c r="AM70" s="31"/>
      <c r="AO70" s="31"/>
      <c r="AP70" s="31"/>
      <c r="AQ70" s="31"/>
      <c r="AR70" s="31"/>
    </row>
    <row r="71" spans="1:44" s="114" customFormat="1" ht="17">
      <c r="A71" s="350"/>
      <c r="B71" s="39" t="s">
        <v>96</v>
      </c>
      <c r="C71" s="40">
        <v>0</v>
      </c>
      <c r="D71" s="39" t="s">
        <v>96</v>
      </c>
      <c r="E71" s="41">
        <f>C62+C71</f>
        <v>0</v>
      </c>
      <c r="H71" s="122"/>
      <c r="I71" s="126"/>
      <c r="J71" s="126"/>
      <c r="K71" s="126"/>
      <c r="L71" s="126"/>
      <c r="M71" s="126"/>
      <c r="O71" s="115"/>
      <c r="P71" s="115"/>
      <c r="Q71" s="115"/>
      <c r="R71" s="115"/>
      <c r="S71" s="116"/>
      <c r="T71" s="115"/>
      <c r="U71" s="115"/>
      <c r="V71" s="115"/>
      <c r="W71" s="115"/>
      <c r="X71" s="115"/>
      <c r="Y71" s="115"/>
      <c r="Z71" s="115"/>
      <c r="AA71" s="115"/>
      <c r="AC71" s="31"/>
      <c r="AD71" s="31"/>
      <c r="AE71" s="31"/>
      <c r="AF71" s="31"/>
      <c r="AG71" s="31"/>
      <c r="AH71" s="31"/>
      <c r="AJ71" s="31"/>
      <c r="AK71" s="31"/>
      <c r="AL71" s="31"/>
      <c r="AM71" s="31"/>
      <c r="AO71" s="31"/>
      <c r="AP71" s="31"/>
      <c r="AQ71" s="31"/>
      <c r="AR71" s="31"/>
    </row>
    <row r="72" spans="1:44" s="114" customFormat="1" ht="17">
      <c r="A72" s="350"/>
      <c r="B72" s="39" t="s">
        <v>97</v>
      </c>
      <c r="C72" s="40">
        <v>-300</v>
      </c>
      <c r="D72" s="39" t="s">
        <v>97</v>
      </c>
      <c r="E72" s="41">
        <f>C63+C72</f>
        <v>-420</v>
      </c>
      <c r="H72" s="122"/>
      <c r="I72" s="126"/>
      <c r="J72" s="126"/>
      <c r="K72" s="126"/>
      <c r="L72" s="126"/>
      <c r="M72" s="126"/>
      <c r="O72" s="115"/>
      <c r="P72" s="115"/>
      <c r="Q72" s="115"/>
      <c r="R72" s="115"/>
      <c r="S72" s="116"/>
      <c r="T72" s="115"/>
      <c r="U72" s="115"/>
      <c r="V72" s="115"/>
      <c r="W72" s="115"/>
      <c r="X72" s="115"/>
      <c r="Y72" s="115"/>
      <c r="Z72" s="115"/>
      <c r="AA72" s="115"/>
      <c r="AC72" s="31"/>
      <c r="AD72" s="31"/>
      <c r="AE72" s="31"/>
      <c r="AF72" s="31"/>
      <c r="AG72" s="31"/>
      <c r="AH72" s="31"/>
      <c r="AJ72" s="31"/>
      <c r="AK72" s="31"/>
      <c r="AL72" s="31"/>
      <c r="AM72" s="31"/>
      <c r="AO72" s="31"/>
      <c r="AP72" s="31"/>
      <c r="AQ72" s="31"/>
      <c r="AR72" s="31"/>
    </row>
    <row r="73" spans="1:44" s="114" customFormat="1" ht="17">
      <c r="A73" s="350"/>
      <c r="B73" s="122" t="s">
        <v>102</v>
      </c>
      <c r="C73" s="123">
        <v>1</v>
      </c>
      <c r="D73" s="122" t="s">
        <v>102</v>
      </c>
      <c r="E73" s="123">
        <v>1</v>
      </c>
      <c r="H73" s="122"/>
      <c r="I73" s="126"/>
      <c r="J73" s="126"/>
      <c r="K73" s="126"/>
      <c r="L73" s="126"/>
      <c r="M73" s="126"/>
      <c r="O73" s="115"/>
      <c r="P73" s="115"/>
      <c r="Q73" s="115"/>
      <c r="R73" s="115"/>
      <c r="S73" s="116"/>
      <c r="T73" s="115"/>
      <c r="U73" s="115"/>
      <c r="V73" s="115"/>
      <c r="W73" s="115"/>
      <c r="X73" s="115"/>
      <c r="Y73" s="115"/>
      <c r="Z73" s="115"/>
      <c r="AA73" s="115"/>
      <c r="AC73" s="31"/>
      <c r="AD73" s="31"/>
      <c r="AE73" s="31"/>
      <c r="AF73" s="31"/>
      <c r="AG73" s="31"/>
      <c r="AH73" s="31"/>
      <c r="AJ73" s="31"/>
      <c r="AK73" s="31"/>
      <c r="AL73" s="31"/>
      <c r="AM73" s="31"/>
      <c r="AO73" s="31"/>
      <c r="AP73" s="31"/>
      <c r="AQ73" s="31"/>
      <c r="AR73" s="31"/>
    </row>
    <row r="74" spans="1:44" s="114" customFormat="1" ht="17">
      <c r="A74" s="350"/>
      <c r="B74" s="39" t="s">
        <v>98</v>
      </c>
      <c r="C74" s="40">
        <v>0</v>
      </c>
      <c r="D74" s="39" t="s">
        <v>98</v>
      </c>
      <c r="E74" s="41">
        <f>C65+C74+C63*C21-C62*C22</f>
        <v>0</v>
      </c>
      <c r="F74" s="122"/>
      <c r="G74" s="126"/>
      <c r="H74" s="122"/>
      <c r="I74" s="126"/>
      <c r="J74" s="126"/>
      <c r="K74" s="126"/>
      <c r="L74" s="126"/>
      <c r="M74" s="126"/>
      <c r="O74" s="115"/>
      <c r="P74" s="115"/>
      <c r="Q74" s="115"/>
      <c r="R74" s="115"/>
      <c r="S74" s="116"/>
      <c r="T74" s="115"/>
      <c r="U74" s="115"/>
      <c r="V74" s="115"/>
      <c r="W74" s="115"/>
      <c r="X74" s="115"/>
      <c r="Y74" s="115"/>
      <c r="Z74" s="115"/>
      <c r="AA74" s="115"/>
      <c r="AC74" s="31"/>
      <c r="AD74" s="31"/>
      <c r="AE74" s="31"/>
      <c r="AF74" s="31"/>
      <c r="AG74" s="31"/>
      <c r="AH74" s="31"/>
      <c r="AJ74" s="31"/>
      <c r="AK74" s="31"/>
      <c r="AL74" s="31"/>
      <c r="AM74" s="31"/>
      <c r="AO74" s="31"/>
      <c r="AP74" s="31"/>
      <c r="AQ74" s="31"/>
      <c r="AR74" s="31"/>
    </row>
    <row r="75" spans="1:44" s="114" customFormat="1" ht="17">
      <c r="A75" s="350"/>
      <c r="B75" s="122" t="s">
        <v>99</v>
      </c>
      <c r="C75" s="125">
        <v>0</v>
      </c>
      <c r="D75" s="122" t="s">
        <v>99</v>
      </c>
      <c r="E75" s="123">
        <f>C66+C75+C61*C22-C63*C20</f>
        <v>-12000</v>
      </c>
      <c r="F75" s="122"/>
      <c r="G75" s="126"/>
      <c r="H75" s="122"/>
      <c r="I75" s="126"/>
      <c r="J75" s="126"/>
      <c r="K75" s="126"/>
      <c r="L75" s="126"/>
      <c r="M75" s="126"/>
      <c r="O75" s="115"/>
      <c r="P75" s="115"/>
      <c r="Q75" s="115"/>
      <c r="R75" s="115"/>
      <c r="S75" s="116"/>
      <c r="T75" s="115"/>
      <c r="U75" s="115"/>
      <c r="V75" s="115"/>
      <c r="W75" s="115"/>
      <c r="X75" s="115"/>
      <c r="Y75" s="115"/>
      <c r="Z75" s="115"/>
      <c r="AA75" s="115"/>
      <c r="AC75" s="31"/>
      <c r="AD75" s="31"/>
      <c r="AE75" s="31"/>
      <c r="AF75" s="31"/>
      <c r="AG75" s="31"/>
      <c r="AH75" s="31"/>
      <c r="AJ75" s="31"/>
      <c r="AK75" s="31"/>
      <c r="AL75" s="31"/>
      <c r="AM75" s="31"/>
      <c r="AO75" s="31"/>
      <c r="AP75" s="31"/>
      <c r="AQ75" s="31"/>
      <c r="AR75" s="31"/>
    </row>
    <row r="76" spans="1:44" s="114" customFormat="1" ht="17">
      <c r="A76" s="350"/>
      <c r="B76" s="39" t="s">
        <v>100</v>
      </c>
      <c r="C76" s="40">
        <v>0</v>
      </c>
      <c r="D76" s="39" t="s">
        <v>100</v>
      </c>
      <c r="E76" s="41">
        <f>C67+C76+C62*C20-C61*C21</f>
        <v>0</v>
      </c>
      <c r="F76" s="122"/>
      <c r="G76" s="126"/>
      <c r="H76" s="122"/>
      <c r="I76" s="126"/>
      <c r="J76" s="126"/>
      <c r="K76" s="126"/>
      <c r="L76" s="126"/>
      <c r="M76" s="126"/>
      <c r="O76" s="115"/>
      <c r="P76" s="115"/>
      <c r="Q76" s="115"/>
      <c r="R76" s="115"/>
      <c r="S76" s="116"/>
      <c r="T76" s="115"/>
      <c r="U76" s="115"/>
      <c r="V76" s="115"/>
      <c r="W76" s="115"/>
      <c r="X76" s="115"/>
      <c r="Y76" s="115"/>
      <c r="Z76" s="115"/>
      <c r="AA76" s="115"/>
      <c r="AC76" s="31"/>
      <c r="AD76" s="31"/>
      <c r="AE76" s="31"/>
      <c r="AF76" s="31"/>
      <c r="AG76" s="31"/>
      <c r="AH76" s="31"/>
      <c r="AJ76" s="31"/>
      <c r="AK76" s="31"/>
      <c r="AL76" s="31"/>
      <c r="AM76" s="31"/>
      <c r="AO76" s="31"/>
      <c r="AP76" s="31"/>
      <c r="AQ76" s="31"/>
      <c r="AR76" s="31"/>
    </row>
    <row r="77" spans="1:44" s="50" customFormat="1" ht="18" thickBot="1">
      <c r="A77" s="351"/>
      <c r="B77" s="55" t="s">
        <v>102</v>
      </c>
      <c r="C77" s="56">
        <v>1</v>
      </c>
      <c r="D77" s="55" t="s">
        <v>102</v>
      </c>
      <c r="E77" s="56">
        <v>1</v>
      </c>
      <c r="F77" s="55"/>
      <c r="G77" s="127"/>
      <c r="H77" s="55"/>
      <c r="I77" s="127"/>
      <c r="J77" s="127"/>
      <c r="K77" s="127"/>
      <c r="L77" s="127"/>
      <c r="M77" s="127"/>
      <c r="O77" s="51"/>
      <c r="P77" s="51"/>
      <c r="Q77" s="51"/>
      <c r="R77" s="51"/>
      <c r="S77" s="52"/>
      <c r="T77" s="51"/>
      <c r="U77" s="51"/>
      <c r="V77" s="51"/>
      <c r="W77" s="51"/>
      <c r="X77" s="51"/>
      <c r="Y77" s="51"/>
      <c r="Z77" s="51"/>
      <c r="AA77" s="51"/>
      <c r="AC77" s="53"/>
      <c r="AD77" s="53"/>
      <c r="AE77" s="53"/>
      <c r="AF77" s="53"/>
      <c r="AG77" s="53"/>
      <c r="AH77" s="53"/>
      <c r="AJ77" s="53"/>
      <c r="AK77" s="53"/>
      <c r="AL77" s="53"/>
      <c r="AM77" s="53"/>
      <c r="AO77" s="53"/>
      <c r="AP77" s="53"/>
      <c r="AQ77" s="53"/>
      <c r="AR77" s="53"/>
    </row>
    <row r="78" spans="1:44" ht="15" customHeight="1">
      <c r="A78" s="348" t="s">
        <v>309</v>
      </c>
      <c r="B78" s="66" t="s">
        <v>236</v>
      </c>
      <c r="E78" s="1" t="s">
        <v>134</v>
      </c>
    </row>
    <row r="79" spans="1:44" ht="15" customHeight="1">
      <c r="A79" s="348"/>
      <c r="B79" s="12" t="s">
        <v>73</v>
      </c>
      <c r="C79" s="54">
        <f>C57</f>
        <v>-100</v>
      </c>
      <c r="E79" s="336" t="s">
        <v>130</v>
      </c>
      <c r="F79" s="336"/>
      <c r="G79" s="336" t="s">
        <v>131</v>
      </c>
      <c r="H79" s="336"/>
      <c r="N79" s="33" t="s">
        <v>93</v>
      </c>
      <c r="O79" s="1"/>
      <c r="P79" s="65"/>
      <c r="Q79" s="1"/>
      <c r="R79" s="1"/>
      <c r="S79" s="33" t="s">
        <v>128</v>
      </c>
      <c r="Y79" s="90" t="s">
        <v>283</v>
      </c>
    </row>
    <row r="80" spans="1:44" ht="15" customHeight="1">
      <c r="A80" s="348"/>
      <c r="B80" s="12" t="s">
        <v>74</v>
      </c>
      <c r="C80" s="54">
        <f t="shared" ref="C80" si="16">C58</f>
        <v>800</v>
      </c>
      <c r="E80" s="44" t="s">
        <v>79</v>
      </c>
      <c r="F80" s="46">
        <f>CS_3!B45</f>
        <v>5.0000000000000001E-3</v>
      </c>
      <c r="G80" s="44" t="s">
        <v>79</v>
      </c>
      <c r="H80" s="46">
        <f>CS_3!B52</f>
        <v>0.1</v>
      </c>
      <c r="O80" t="s">
        <v>83</v>
      </c>
      <c r="P80" s="7" t="s">
        <v>84</v>
      </c>
      <c r="Q80" s="25" t="s">
        <v>85</v>
      </c>
      <c r="R80" s="25" t="s">
        <v>86</v>
      </c>
      <c r="T80" t="s">
        <v>83</v>
      </c>
      <c r="U80" s="7" t="s">
        <v>84</v>
      </c>
      <c r="V80" s="25" t="s">
        <v>85</v>
      </c>
      <c r="W80" s="25" t="s">
        <v>86</v>
      </c>
      <c r="Y80" t="s">
        <v>83</v>
      </c>
      <c r="Z80" s="7" t="s">
        <v>84</v>
      </c>
      <c r="AA80" s="25" t="s">
        <v>85</v>
      </c>
      <c r="AB80" s="25" t="s">
        <v>86</v>
      </c>
    </row>
    <row r="81" spans="1:62" ht="15" customHeight="1">
      <c r="A81" s="348"/>
      <c r="B81" s="12" t="s">
        <v>75</v>
      </c>
      <c r="C81" s="54">
        <f>C59</f>
        <v>-200</v>
      </c>
      <c r="E81" s="44" t="s">
        <v>106</v>
      </c>
      <c r="F81" s="46">
        <f>CS_3!B46</f>
        <v>5.0000000000000001E-3</v>
      </c>
      <c r="G81" s="44" t="s">
        <v>106</v>
      </c>
      <c r="H81" s="46">
        <f>CS_3!B53</f>
        <v>0.1</v>
      </c>
      <c r="N81" s="44" t="s">
        <v>79</v>
      </c>
      <c r="O81" s="48">
        <f>ABS(F80)</f>
        <v>5.0000000000000001E-3</v>
      </c>
      <c r="P81" s="48">
        <f>ABS(F83*O95)</f>
        <v>0</v>
      </c>
      <c r="Q81" s="48">
        <f>ABS(F84*P95)</f>
        <v>4.9993747916794009E-3</v>
      </c>
      <c r="R81" s="48">
        <f>ABS(F85*Q95)</f>
        <v>2.6665553580288302E-2</v>
      </c>
      <c r="S81" s="44" t="s">
        <v>79</v>
      </c>
      <c r="T81" s="47">
        <f t="array" ref="T81:W84">ABS(MMULT(T99:W102,O81:R84))</f>
        <v>5.0000000000000001E-3</v>
      </c>
      <c r="U81" s="47">
        <v>0</v>
      </c>
      <c r="V81" s="47">
        <v>4.9993747916794009E-3</v>
      </c>
      <c r="W81" s="47">
        <v>2.6665553580288302E-2</v>
      </c>
      <c r="X81" s="68" t="s">
        <v>79</v>
      </c>
      <c r="Y81" s="47">
        <f>F87+F94</f>
        <v>1.7216375473043991E-3</v>
      </c>
      <c r="Z81" s="28">
        <f>F90*O95</f>
        <v>0</v>
      </c>
      <c r="AA81" s="28">
        <f>F91*P95</f>
        <v>2.3150882476548434E-5</v>
      </c>
      <c r="AB81" s="28">
        <f>F92*Q95</f>
        <v>0</v>
      </c>
    </row>
    <row r="82" spans="1:62" ht="15" customHeight="1">
      <c r="A82" s="58">
        <v>3</v>
      </c>
      <c r="B82" s="1" t="s">
        <v>76</v>
      </c>
      <c r="E82" s="44" t="s">
        <v>107</v>
      </c>
      <c r="F82" s="46">
        <f>CS_3!B47</f>
        <v>5.0000000000000001E-3</v>
      </c>
      <c r="G82" s="44" t="s">
        <v>107</v>
      </c>
      <c r="H82" s="46">
        <f>CS_3!B54</f>
        <v>0.1</v>
      </c>
      <c r="N82" s="44" t="s">
        <v>106</v>
      </c>
      <c r="O82" s="48">
        <f t="shared" ref="O82:O83" si="17">ABS(F81)</f>
        <v>5.0000000000000001E-3</v>
      </c>
      <c r="P82" s="48">
        <f>ABS(F83*O96)</f>
        <v>4.994999791767896E-3</v>
      </c>
      <c r="Q82" s="48">
        <f>ABS(F84*P96)</f>
        <v>0</v>
      </c>
      <c r="R82" s="48">
        <f>ABS(F85*Q96)</f>
        <v>3.3422219749752453E-3</v>
      </c>
      <c r="S82" s="44" t="s">
        <v>106</v>
      </c>
      <c r="T82" s="47">
        <v>5.0000000000000001E-3</v>
      </c>
      <c r="U82" s="47">
        <v>4.994999791767896E-3</v>
      </c>
      <c r="V82" s="47">
        <v>0</v>
      </c>
      <c r="W82" s="47">
        <v>3.3422219749752453E-3</v>
      </c>
      <c r="X82" s="68" t="s">
        <v>106</v>
      </c>
      <c r="Y82" s="47">
        <f t="shared" ref="Y82:Y83" si="18">F88+F95</f>
        <v>0</v>
      </c>
      <c r="Z82" s="28">
        <f>F90*O96</f>
        <v>-6.4597739655745359E-4</v>
      </c>
      <c r="AA82" s="28">
        <f>F91*P96</f>
        <v>0</v>
      </c>
      <c r="AB82" s="28">
        <f>F92*Q96</f>
        <v>0</v>
      </c>
    </row>
    <row r="83" spans="1:62" ht="15" customHeight="1">
      <c r="A83" s="41">
        <f>IF(A82&gt;Naxes,0,1)</f>
        <v>1</v>
      </c>
      <c r="B83" s="2" t="s">
        <v>168</v>
      </c>
      <c r="C83" s="35">
        <v>0</v>
      </c>
      <c r="E83" s="4" t="s">
        <v>80</v>
      </c>
      <c r="F83" s="46">
        <f>CS_3!B48</f>
        <v>2.5000000000000001E-5</v>
      </c>
      <c r="G83" s="4" t="s">
        <v>80</v>
      </c>
      <c r="H83" s="46">
        <f>CS_3!B55</f>
        <v>5.0000000000000001E-4</v>
      </c>
      <c r="N83" s="44" t="s">
        <v>107</v>
      </c>
      <c r="O83" s="48">
        <f t="shared" si="17"/>
        <v>5.0000000000000001E-3</v>
      </c>
      <c r="P83" s="48">
        <f>ABS(F83*O97)</f>
        <v>2.0001249166641345E-2</v>
      </c>
      <c r="Q83" s="48">
        <f>ABS(F84*P97)</f>
        <v>2.501249895807689E-3</v>
      </c>
      <c r="R83" s="48">
        <f>ABS(F85*Q97)</f>
        <v>0</v>
      </c>
      <c r="S83" s="44" t="s">
        <v>107</v>
      </c>
      <c r="T83" s="47">
        <v>5.0000000000000001E-3</v>
      </c>
      <c r="U83" s="47">
        <v>2.0001249166641345E-2</v>
      </c>
      <c r="V83" s="47">
        <v>2.501249895807689E-3</v>
      </c>
      <c r="W83" s="47">
        <v>0</v>
      </c>
      <c r="X83" s="68" t="s">
        <v>107</v>
      </c>
      <c r="Y83" s="47">
        <f t="shared" si="18"/>
        <v>-1.3310375256216792E-2</v>
      </c>
      <c r="Z83" s="28">
        <f>F90*O97</f>
        <v>-2.5866577383761957E-3</v>
      </c>
      <c r="AA83" s="28">
        <f>F91*P97</f>
        <v>-1.1582676793645805E-5</v>
      </c>
      <c r="AB83" s="28">
        <f>F92*Q97</f>
        <v>0</v>
      </c>
    </row>
    <row r="84" spans="1:62" ht="15" customHeight="1">
      <c r="A84" s="346" t="s">
        <v>121</v>
      </c>
      <c r="B84" s="2" t="s">
        <v>170</v>
      </c>
      <c r="C84" s="35">
        <v>0</v>
      </c>
      <c r="E84" s="4" t="s">
        <v>81</v>
      </c>
      <c r="F84" s="46">
        <f>CS_3!B49</f>
        <v>2.5000000000000001E-5</v>
      </c>
      <c r="G84" s="4" t="s">
        <v>81</v>
      </c>
      <c r="H84" s="46">
        <f>CS_3!B56</f>
        <v>5.0000000000000001E-4</v>
      </c>
      <c r="N84" s="6" t="s">
        <v>102</v>
      </c>
      <c r="O84" s="28">
        <v>1</v>
      </c>
      <c r="P84" s="28">
        <v>1</v>
      </c>
      <c r="Q84" s="28">
        <v>1</v>
      </c>
      <c r="R84" s="28">
        <v>1</v>
      </c>
      <c r="S84" s="6" t="s">
        <v>102</v>
      </c>
      <c r="T84" s="47">
        <v>1</v>
      </c>
      <c r="U84" s="47">
        <v>1</v>
      </c>
      <c r="V84" s="47">
        <v>1</v>
      </c>
      <c r="W84" s="47">
        <v>1</v>
      </c>
      <c r="X84" s="6" t="s">
        <v>102</v>
      </c>
      <c r="Y84" s="28">
        <v>1</v>
      </c>
      <c r="Z84" s="28">
        <v>1</v>
      </c>
      <c r="AA84" s="28">
        <v>1</v>
      </c>
      <c r="AB84" s="28">
        <v>1</v>
      </c>
    </row>
    <row r="85" spans="1:62" ht="15" customHeight="1">
      <c r="A85" s="346"/>
      <c r="B85" s="2" t="s">
        <v>169</v>
      </c>
      <c r="C85" s="35">
        <v>0</v>
      </c>
      <c r="E85" s="4" t="s">
        <v>82</v>
      </c>
      <c r="F85" s="46">
        <f>CS_3!B50</f>
        <v>3.3333333333333335E-5</v>
      </c>
      <c r="G85" s="4" t="s">
        <v>82</v>
      </c>
      <c r="H85" s="46">
        <f>CS_3!B57</f>
        <v>6.6666666666666675E-4</v>
      </c>
      <c r="X85" s="6"/>
    </row>
    <row r="86" spans="1:62" ht="29" customHeight="1">
      <c r="A86" s="346"/>
      <c r="B86" s="2" t="s">
        <v>402</v>
      </c>
      <c r="C86" s="326">
        <f>Summary!K17</f>
        <v>-150</v>
      </c>
      <c r="D86" s="356" t="s">
        <v>410</v>
      </c>
      <c r="E86" s="347" t="s">
        <v>289</v>
      </c>
      <c r="F86" s="347"/>
      <c r="G86" s="336" t="s">
        <v>237</v>
      </c>
      <c r="H86" s="336"/>
      <c r="I86" s="347" t="s">
        <v>292</v>
      </c>
      <c r="J86" s="347"/>
      <c r="K86" s="347" t="s">
        <v>290</v>
      </c>
      <c r="L86" s="347"/>
      <c r="N86" s="33" t="s">
        <v>94</v>
      </c>
      <c r="O86" s="1"/>
      <c r="P86" s="65"/>
      <c r="Q86" s="1"/>
      <c r="R86" s="1"/>
      <c r="S86" s="33" t="s">
        <v>129</v>
      </c>
      <c r="X86" s="6"/>
      <c r="Y86" s="90" t="s">
        <v>282</v>
      </c>
    </row>
    <row r="87" spans="1:62" ht="15" customHeight="1">
      <c r="A87" s="346"/>
      <c r="B87" s="2" t="s">
        <v>403</v>
      </c>
      <c r="C87" s="324">
        <f>Summary!L17</f>
        <v>200</v>
      </c>
      <c r="D87" s="356"/>
      <c r="E87" s="44" t="s">
        <v>79</v>
      </c>
      <c r="F87" s="47">
        <f>E103/IF(H87=0,1000000000000,H87)</f>
        <v>0</v>
      </c>
      <c r="G87" s="4" t="s">
        <v>111</v>
      </c>
      <c r="H87" s="28">
        <f>CS_3!B25</f>
        <v>2588000</v>
      </c>
      <c r="I87" s="4" t="s">
        <v>80</v>
      </c>
      <c r="J87" s="47">
        <f>A116*F130</f>
        <v>0</v>
      </c>
      <c r="K87" s="4" t="s">
        <v>80</v>
      </c>
      <c r="L87" s="131">
        <f t="array" ref="L87:L90">MMULT(MINVERSE(O99:R102),J87:J90)</f>
        <v>0</v>
      </c>
      <c r="O87" t="s">
        <v>83</v>
      </c>
      <c r="P87" s="7" t="s">
        <v>84</v>
      </c>
      <c r="Q87" s="25" t="s">
        <v>85</v>
      </c>
      <c r="R87" s="25" t="s">
        <v>86</v>
      </c>
      <c r="T87" t="s">
        <v>83</v>
      </c>
      <c r="U87" s="7" t="s">
        <v>84</v>
      </c>
      <c r="V87" s="25" t="s">
        <v>85</v>
      </c>
      <c r="W87" s="25" t="s">
        <v>86</v>
      </c>
      <c r="X87" s="6"/>
      <c r="Y87" t="s">
        <v>83</v>
      </c>
      <c r="Z87" s="7" t="s">
        <v>84</v>
      </c>
      <c r="AA87" s="25" t="s">
        <v>85</v>
      </c>
      <c r="AB87" s="25" t="s">
        <v>86</v>
      </c>
    </row>
    <row r="88" spans="1:62" ht="15" customHeight="1">
      <c r="A88" s="349" t="s">
        <v>426</v>
      </c>
      <c r="B88" s="2" t="s">
        <v>404</v>
      </c>
      <c r="C88" s="324">
        <f>Summary!M17</f>
        <v>0</v>
      </c>
      <c r="D88" s="356"/>
      <c r="E88" s="44" t="s">
        <v>106</v>
      </c>
      <c r="F88" s="47">
        <f t="shared" ref="F88:F89" si="19">E104/IF(H88=0,1000000000000,H88)</f>
        <v>0</v>
      </c>
      <c r="G88" s="4" t="s">
        <v>112</v>
      </c>
      <c r="H88" s="28">
        <f>CS_3!B26</f>
        <v>2588000</v>
      </c>
      <c r="I88" s="4" t="s">
        <v>81</v>
      </c>
      <c r="J88" s="47">
        <f>A116*F131</f>
        <v>0</v>
      </c>
      <c r="K88" s="4" t="s">
        <v>81</v>
      </c>
      <c r="L88" s="131">
        <v>0</v>
      </c>
      <c r="N88" s="44" t="s">
        <v>79</v>
      </c>
      <c r="O88" s="48">
        <f>H80</f>
        <v>0.1</v>
      </c>
      <c r="P88" s="48">
        <f>H83*O95</f>
        <v>0</v>
      </c>
      <c r="Q88" s="48">
        <f>H84*P95</f>
        <v>-9.9987495833588014E-2</v>
      </c>
      <c r="R88" s="48">
        <f>H85*Q95</f>
        <v>-0.53331107160576607</v>
      </c>
      <c r="S88" s="44" t="s">
        <v>79</v>
      </c>
      <c r="T88" s="48">
        <f t="array" ref="T88:T91">MMULT(T99:W102,O88:O91)</f>
        <v>0.1</v>
      </c>
      <c r="U88" s="48">
        <f t="array" ref="U88:U91">MMULT(T99:W102,P88:P91)</f>
        <v>0</v>
      </c>
      <c r="V88" s="48">
        <f t="array" ref="V88:V91">MMULT(T99:W102,Q88:Q91)</f>
        <v>-9.9987495833588014E-2</v>
      </c>
      <c r="W88" s="48">
        <f t="array" ref="W88:W91">MMULT(T99:W102,R88:R91)</f>
        <v>-0.53331107160576607</v>
      </c>
      <c r="X88" s="68" t="s">
        <v>79</v>
      </c>
      <c r="Y88" s="28">
        <f t="array" ref="Y88:Y91">MMULT(T99:W102,Y81:Y84)</f>
        <v>1.7216375473043991E-3</v>
      </c>
      <c r="Z88" s="28">
        <f t="array" ref="Z88:Z91">MMULT(T99:W102,Z81:Z84)</f>
        <v>0</v>
      </c>
      <c r="AA88" s="28">
        <f t="array" ref="AA88:AA91">MMULT(T99:W102,AA81:AA84)</f>
        <v>2.3150882476548434E-5</v>
      </c>
      <c r="AB88" s="28">
        <f t="array" ref="AB88:AB91">MMULT(T99:W102,AB81:AB84)</f>
        <v>0</v>
      </c>
    </row>
    <row r="89" spans="1:62" ht="15" customHeight="1">
      <c r="A89" s="350"/>
      <c r="B89" s="297" t="s">
        <v>391</v>
      </c>
      <c r="E89" s="44" t="s">
        <v>107</v>
      </c>
      <c r="F89" s="47">
        <f t="shared" si="19"/>
        <v>-1.0875587777946182E-2</v>
      </c>
      <c r="G89" s="4" t="s">
        <v>113</v>
      </c>
      <c r="H89" s="28">
        <f>CS_3!B27</f>
        <v>75398.223686155034</v>
      </c>
      <c r="I89" s="4" t="s">
        <v>82</v>
      </c>
      <c r="J89" s="47">
        <f>A116*F132</f>
        <v>0</v>
      </c>
      <c r="K89" s="4" t="s">
        <v>82</v>
      </c>
      <c r="L89" s="131">
        <v>0</v>
      </c>
      <c r="N89" s="44" t="s">
        <v>106</v>
      </c>
      <c r="O89" s="48">
        <f>H81</f>
        <v>0.1</v>
      </c>
      <c r="P89" s="48">
        <f>H83*O96</f>
        <v>9.9899995835357913E-2</v>
      </c>
      <c r="Q89" s="48">
        <f>H84*P96</f>
        <v>0</v>
      </c>
      <c r="R89" s="48">
        <f>H85*Q96</f>
        <v>-6.6844439499504915E-2</v>
      </c>
      <c r="S89" s="44" t="s">
        <v>106</v>
      </c>
      <c r="T89" s="48">
        <v>0.1</v>
      </c>
      <c r="U89" s="48">
        <v>9.9899995835357913E-2</v>
      </c>
      <c r="V89" s="48">
        <v>0</v>
      </c>
      <c r="W89" s="48">
        <v>-6.6844439499504915E-2</v>
      </c>
      <c r="X89" s="68" t="s">
        <v>106</v>
      </c>
      <c r="Y89" s="28">
        <v>0</v>
      </c>
      <c r="Z89" s="28">
        <v>-6.4597739655745359E-4</v>
      </c>
      <c r="AA89" s="28">
        <v>0</v>
      </c>
      <c r="AB89" s="28">
        <v>0</v>
      </c>
    </row>
    <row r="90" spans="1:62" ht="15" customHeight="1">
      <c r="A90" s="350"/>
      <c r="B90" s="12" t="s">
        <v>405</v>
      </c>
      <c r="C90" s="30">
        <f>AC99+C86</f>
        <v>-250</v>
      </c>
      <c r="E90" s="4" t="s">
        <v>80</v>
      </c>
      <c r="F90" s="47">
        <f>E107/IF(H90=0,1000000000000,H90)+L87</f>
        <v>-3.2331202376728271E-6</v>
      </c>
      <c r="G90" s="44" t="s">
        <v>8</v>
      </c>
      <c r="H90" s="28">
        <f>CS_3!B29</f>
        <v>103924375000</v>
      </c>
      <c r="I90" s="4" t="s">
        <v>291</v>
      </c>
      <c r="J90" s="28">
        <v>1</v>
      </c>
      <c r="K90" s="4" t="s">
        <v>291</v>
      </c>
      <c r="L90" s="131">
        <v>1</v>
      </c>
      <c r="N90" s="44" t="s">
        <v>107</v>
      </c>
      <c r="O90" s="48">
        <f>H82</f>
        <v>0.1</v>
      </c>
      <c r="P90" s="48">
        <f>H83*O97</f>
        <v>0.40002498333282688</v>
      </c>
      <c r="Q90" s="48">
        <f>H84*P97</f>
        <v>5.0024997916153779E-2</v>
      </c>
      <c r="R90" s="48">
        <f>H85*Q97</f>
        <v>0</v>
      </c>
      <c r="S90" s="44" t="s">
        <v>107</v>
      </c>
      <c r="T90" s="48">
        <v>0.1</v>
      </c>
      <c r="U90" s="48">
        <v>0.40002498333282688</v>
      </c>
      <c r="V90" s="48">
        <v>5.0024997916153779E-2</v>
      </c>
      <c r="W90" s="48">
        <v>0</v>
      </c>
      <c r="X90" s="68" t="s">
        <v>107</v>
      </c>
      <c r="Y90" s="28">
        <v>-1.3310375256216792E-2</v>
      </c>
      <c r="Z90" s="28">
        <v>-2.5866577383761957E-3</v>
      </c>
      <c r="AA90" s="28">
        <v>-1.1582676793645805E-5</v>
      </c>
      <c r="AB90" s="28">
        <v>0</v>
      </c>
    </row>
    <row r="91" spans="1:62" ht="15" customHeight="1">
      <c r="A91" s="350"/>
      <c r="B91" s="12" t="s">
        <v>406</v>
      </c>
      <c r="C91" s="30">
        <f>AC100+C87</f>
        <v>1000</v>
      </c>
      <c r="E91" s="4" t="s">
        <v>81</v>
      </c>
      <c r="F91" s="47">
        <f t="shared" ref="F91:F92" si="20">E108/IF(H91=0,1000000000000,H91)+L88</f>
        <v>-1.1576888831719066E-7</v>
      </c>
      <c r="G91" s="44" t="s">
        <v>114</v>
      </c>
      <c r="H91" s="28">
        <f>CS_3!B30</f>
        <v>103654791666.66667</v>
      </c>
      <c r="N91" s="6" t="s">
        <v>102</v>
      </c>
      <c r="O91" s="28">
        <v>1</v>
      </c>
      <c r="P91" s="28">
        <v>1</v>
      </c>
      <c r="Q91" s="28">
        <v>1</v>
      </c>
      <c r="R91" s="28">
        <v>1</v>
      </c>
      <c r="S91" s="6" t="s">
        <v>102</v>
      </c>
      <c r="T91" s="28">
        <v>1</v>
      </c>
      <c r="U91" s="28">
        <v>1</v>
      </c>
      <c r="V91" s="28">
        <v>1</v>
      </c>
      <c r="W91" s="28">
        <v>1</v>
      </c>
      <c r="X91" s="6" t="s">
        <v>102</v>
      </c>
      <c r="Y91" s="28">
        <v>1</v>
      </c>
      <c r="Z91" s="28">
        <v>1</v>
      </c>
      <c r="AA91" s="28">
        <v>1</v>
      </c>
      <c r="AB91" s="28">
        <v>1</v>
      </c>
    </row>
    <row r="92" spans="1:62" ht="15" customHeight="1">
      <c r="A92" s="350"/>
      <c r="B92" s="12" t="s">
        <v>407</v>
      </c>
      <c r="C92" s="30">
        <f>AC101+C88</f>
        <v>-200</v>
      </c>
      <c r="E92" s="4" t="s">
        <v>82</v>
      </c>
      <c r="F92" s="47">
        <f t="shared" si="20"/>
        <v>0</v>
      </c>
      <c r="G92" s="44" t="s">
        <v>110</v>
      </c>
      <c r="H92" s="28">
        <f>CS_3!B31</f>
        <v>58364791666.666664</v>
      </c>
      <c r="AB92" s="5"/>
      <c r="AU92" s="5" t="s">
        <v>67</v>
      </c>
      <c r="AZ92" s="5" t="s">
        <v>87</v>
      </c>
      <c r="BE92" s="5" t="s">
        <v>92</v>
      </c>
      <c r="BJ92" s="5" t="s">
        <v>92</v>
      </c>
    </row>
    <row r="93" spans="1:62" ht="34">
      <c r="A93" s="350"/>
      <c r="B93" s="67" t="s">
        <v>101</v>
      </c>
      <c r="E93" s="336" t="s">
        <v>280</v>
      </c>
      <c r="F93" s="352"/>
      <c r="G93" s="353" t="s">
        <v>279</v>
      </c>
      <c r="H93" s="354"/>
      <c r="I93" s="354"/>
      <c r="J93" s="354"/>
      <c r="K93" s="354"/>
      <c r="L93" s="355"/>
      <c r="M93" s="89" t="s">
        <v>281</v>
      </c>
      <c r="N93" s="82" t="s">
        <v>234</v>
      </c>
      <c r="AE93" s="43" t="s">
        <v>214</v>
      </c>
      <c r="AF93" s="295">
        <f>CS_3!B60</f>
        <v>5.0000000000000001E-4</v>
      </c>
      <c r="AG93" s="43"/>
      <c r="AH93" s="43"/>
      <c r="AI93" s="43"/>
      <c r="AJ93" s="43" t="s">
        <v>88</v>
      </c>
      <c r="AK93" s="296">
        <f>CS_3!B61</f>
        <v>5.0000000000000001E-4</v>
      </c>
      <c r="AL93" s="7"/>
      <c r="AM93" s="7"/>
      <c r="AN93" s="43"/>
      <c r="AO93" s="43" t="s">
        <v>213</v>
      </c>
      <c r="AP93" s="295">
        <f>CS_3!B62</f>
        <v>6.6666666666666675E-4</v>
      </c>
      <c r="AU93" s="7" t="s">
        <v>0</v>
      </c>
      <c r="AV93" s="7" t="s">
        <v>1</v>
      </c>
      <c r="AW93" s="7" t="s">
        <v>2</v>
      </c>
      <c r="AZ93" s="7" t="s">
        <v>0</v>
      </c>
      <c r="BA93" s="7" t="s">
        <v>1</v>
      </c>
      <c r="BB93" s="7" t="s">
        <v>2</v>
      </c>
      <c r="BE93" s="7" t="s">
        <v>0</v>
      </c>
      <c r="BF93" s="7" t="s">
        <v>1</v>
      </c>
      <c r="BG93" s="7" t="s">
        <v>2</v>
      </c>
    </row>
    <row r="94" spans="1:62" ht="15" customHeight="1">
      <c r="A94" s="350"/>
      <c r="B94" s="39" t="s">
        <v>95</v>
      </c>
      <c r="C94" s="41">
        <f t="array" ref="C94:C97">MMULT(O66:R69,E70:E73)</f>
        <v>0</v>
      </c>
      <c r="E94" s="44" t="s">
        <v>79</v>
      </c>
      <c r="F94" s="47">
        <f t="array" ref="F94:F99">MMULT(G94:L99,M94:M99)</f>
        <v>1.7216375473043991E-3</v>
      </c>
      <c r="G94" s="124">
        <f>CS_3!G5</f>
        <v>1.912930608115999E-5</v>
      </c>
      <c r="H94" s="124">
        <f>CS_3!H5</f>
        <v>0</v>
      </c>
      <c r="I94" s="124">
        <f>CS_3!I5</f>
        <v>0</v>
      </c>
      <c r="J94" s="124">
        <f>CS_3!J5</f>
        <v>0</v>
      </c>
      <c r="K94" s="124">
        <f>CS_3!K5</f>
        <v>-1.4346979560869992E-7</v>
      </c>
      <c r="L94" s="124">
        <f>CS_3!L5</f>
        <v>0</v>
      </c>
      <c r="M94" s="28">
        <f>C94</f>
        <v>0</v>
      </c>
      <c r="O94" s="7" t="s">
        <v>4</v>
      </c>
      <c r="P94" s="25" t="s">
        <v>5</v>
      </c>
      <c r="Q94" s="25" t="s">
        <v>6</v>
      </c>
      <c r="R94" s="25"/>
      <c r="S94" s="25"/>
      <c r="T94" s="25"/>
      <c r="U94" s="25"/>
      <c r="V94" s="25"/>
      <c r="W94" s="25"/>
      <c r="X94" s="25"/>
      <c r="Y94" s="25"/>
      <c r="Z94" s="25"/>
      <c r="AA94" s="25"/>
      <c r="AB94" t="s">
        <v>66</v>
      </c>
      <c r="AC94" s="28">
        <f>C79</f>
        <v>-100</v>
      </c>
      <c r="AD94" s="28"/>
      <c r="AE94" s="76">
        <v>1</v>
      </c>
      <c r="AF94" s="47">
        <v>0</v>
      </c>
      <c r="AG94" s="47">
        <v>0</v>
      </c>
      <c r="AH94" s="77">
        <v>0</v>
      </c>
      <c r="AI94" s="78"/>
      <c r="AJ94" s="47">
        <f>COS(AK93)</f>
        <v>0.99999987500000265</v>
      </c>
      <c r="AK94" s="47">
        <v>0</v>
      </c>
      <c r="AL94" s="47">
        <f>-AJ96</f>
        <v>4.999999791666669E-4</v>
      </c>
      <c r="AM94" s="47">
        <v>0</v>
      </c>
      <c r="AN94" s="78"/>
      <c r="AO94" s="47">
        <f>COS(AP93)</f>
        <v>0.99999977777778604</v>
      </c>
      <c r="AP94" s="47">
        <f>-AO95</f>
        <v>-6.6666661728395182E-4</v>
      </c>
      <c r="AQ94" s="47">
        <v>0</v>
      </c>
      <c r="AR94" s="47">
        <v>0</v>
      </c>
      <c r="AS94" s="78"/>
      <c r="AT94" s="28" t="s">
        <v>63</v>
      </c>
      <c r="AU94" s="47">
        <f t="array" ref="AU94:AU97">MMULT(AE94:AH97,$AC94:$AC97)</f>
        <v>-100</v>
      </c>
      <c r="AV94" s="47">
        <f>AU94-$AC94</f>
        <v>0</v>
      </c>
      <c r="AW94" s="47">
        <f>AV94/AF93</f>
        <v>0</v>
      </c>
      <c r="AX94" s="78"/>
      <c r="AY94" s="28" t="s">
        <v>63</v>
      </c>
      <c r="AZ94" s="47">
        <f t="array" ref="AZ94:AZ97">MMULT(AJ94:AM97,$AC94:$AC97)</f>
        <v>-100.09998749583359</v>
      </c>
      <c r="BA94" s="47">
        <f>AZ94-$AC94</f>
        <v>-9.9987495833588014E-2</v>
      </c>
      <c r="BB94" s="47">
        <f>BA94/AK93</f>
        <v>-199.97499166717603</v>
      </c>
      <c r="BC94" s="78"/>
      <c r="BD94" s="28" t="s">
        <v>63</v>
      </c>
      <c r="BE94" s="47">
        <f t="array" ref="BE94:BE97">MMULT(AO94:AR97,$AC94:$AC97)</f>
        <v>-100.53331107160577</v>
      </c>
      <c r="BF94" s="47">
        <f>BE94-$AC94</f>
        <v>-0.53331107160576607</v>
      </c>
      <c r="BG94" s="47">
        <f>BF94/AP93</f>
        <v>-799.966607408649</v>
      </c>
    </row>
    <row r="95" spans="1:62" ht="17">
      <c r="A95" s="350"/>
      <c r="B95" s="39" t="s">
        <v>96</v>
      </c>
      <c r="C95" s="41">
        <v>0</v>
      </c>
      <c r="E95" s="44" t="s">
        <v>106</v>
      </c>
      <c r="F95" s="47">
        <v>0</v>
      </c>
      <c r="G95" s="124">
        <f>CS_3!G6</f>
        <v>0</v>
      </c>
      <c r="H95" s="124">
        <f>CS_3!H6</f>
        <v>1.912930608115999E-5</v>
      </c>
      <c r="I95" s="124">
        <f>CS_3!I6</f>
        <v>0</v>
      </c>
      <c r="J95" s="124">
        <f>CS_3!J6</f>
        <v>1.4346979560869992E-7</v>
      </c>
      <c r="K95" s="124">
        <f>CS_3!K6</f>
        <v>0</v>
      </c>
      <c r="L95" s="124">
        <f>CS_3!L6</f>
        <v>0</v>
      </c>
      <c r="M95" s="28">
        <f t="shared" ref="M95:M96" si="21">C95</f>
        <v>0</v>
      </c>
      <c r="N95" s="44" t="s">
        <v>79</v>
      </c>
      <c r="O95" s="30">
        <f>AW94</f>
        <v>0</v>
      </c>
      <c r="P95" s="30">
        <f>BB94</f>
        <v>-199.97499166717603</v>
      </c>
      <c r="Q95" s="30">
        <f>BG94</f>
        <v>-799.966607408649</v>
      </c>
      <c r="AB95" t="s">
        <v>71</v>
      </c>
      <c r="AC95" s="28">
        <f>C80</f>
        <v>800</v>
      </c>
      <c r="AD95" s="28"/>
      <c r="AE95" s="76">
        <v>0</v>
      </c>
      <c r="AF95" s="47">
        <f>COS(AF93)</f>
        <v>0.99999987500000265</v>
      </c>
      <c r="AG95" s="47">
        <f>-SIN(AF93)</f>
        <v>-4.999999791666669E-4</v>
      </c>
      <c r="AH95" s="77">
        <v>0</v>
      </c>
      <c r="AI95" s="78"/>
      <c r="AJ95" s="47">
        <v>0</v>
      </c>
      <c r="AK95" s="47">
        <v>1</v>
      </c>
      <c r="AL95" s="47">
        <v>0</v>
      </c>
      <c r="AM95" s="47">
        <v>0</v>
      </c>
      <c r="AN95" s="78"/>
      <c r="AO95" s="47">
        <f>SIN(AP93)</f>
        <v>6.6666661728395182E-4</v>
      </c>
      <c r="AP95" s="47">
        <f>AO94</f>
        <v>0.99999977777778604</v>
      </c>
      <c r="AQ95" s="47">
        <v>0</v>
      </c>
      <c r="AR95" s="47">
        <v>0</v>
      </c>
      <c r="AS95" s="78"/>
      <c r="AT95" s="28" t="s">
        <v>64</v>
      </c>
      <c r="AU95" s="47">
        <v>800.09989999583536</v>
      </c>
      <c r="AV95" s="47">
        <f>AU95-$AC95</f>
        <v>9.9899995835357913E-2</v>
      </c>
      <c r="AW95" s="47">
        <f>AV95/AF93</f>
        <v>199.79999167071583</v>
      </c>
      <c r="AX95" s="78"/>
      <c r="AY95" s="28" t="s">
        <v>64</v>
      </c>
      <c r="AZ95" s="47">
        <v>800</v>
      </c>
      <c r="BA95" s="47">
        <f>AZ95-$AC95</f>
        <v>0</v>
      </c>
      <c r="BB95" s="47">
        <f>BA95/AK93</f>
        <v>0</v>
      </c>
      <c r="BC95" s="78"/>
      <c r="BD95" s="28" t="s">
        <v>64</v>
      </c>
      <c r="BE95" s="47">
        <v>799.9331555605005</v>
      </c>
      <c r="BF95" s="47">
        <f>BE95-$AC95</f>
        <v>-6.6844439499504915E-2</v>
      </c>
      <c r="BG95" s="47">
        <f>BF95/AP93</f>
        <v>-100.26665924925736</v>
      </c>
    </row>
    <row r="96" spans="1:62" ht="17">
      <c r="A96" s="350"/>
      <c r="B96" s="39" t="s">
        <v>97</v>
      </c>
      <c r="C96" s="41">
        <v>-420</v>
      </c>
      <c r="E96" s="44" t="s">
        <v>107</v>
      </c>
      <c r="F96" s="47">
        <v>-2.4347874782706096E-3</v>
      </c>
      <c r="G96" s="124">
        <f>CS_3!G7</f>
        <v>0</v>
      </c>
      <c r="H96" s="124">
        <f>CS_3!H7</f>
        <v>0</v>
      </c>
      <c r="I96" s="124">
        <f>CS_3!I7</f>
        <v>5.7971130435014511E-6</v>
      </c>
      <c r="J96" s="124">
        <f>CS_3!J7</f>
        <v>0</v>
      </c>
      <c r="K96" s="124">
        <f>CS_3!K7</f>
        <v>0</v>
      </c>
      <c r="L96" s="124">
        <f>CS_3!L7</f>
        <v>0</v>
      </c>
      <c r="M96" s="28">
        <f t="shared" si="21"/>
        <v>-420</v>
      </c>
      <c r="N96" s="44" t="s">
        <v>106</v>
      </c>
      <c r="O96" s="30">
        <f t="shared" ref="O96:O97" si="22">AW95</f>
        <v>199.79999167071583</v>
      </c>
      <c r="P96" s="30">
        <f t="shared" ref="P96:P97" si="23">BB95</f>
        <v>0</v>
      </c>
      <c r="Q96" s="30">
        <f t="shared" ref="Q96:Q97" si="24">BG95</f>
        <v>-100.26665924925736</v>
      </c>
      <c r="AB96" t="s">
        <v>72</v>
      </c>
      <c r="AC96" s="28">
        <f>C81</f>
        <v>-200</v>
      </c>
      <c r="AD96" s="28"/>
      <c r="AE96" s="76">
        <v>0</v>
      </c>
      <c r="AF96" s="47">
        <f>-AG95</f>
        <v>4.999999791666669E-4</v>
      </c>
      <c r="AG96" s="47">
        <f>AF95</f>
        <v>0.99999987500000265</v>
      </c>
      <c r="AH96" s="77">
        <v>0</v>
      </c>
      <c r="AI96" s="78"/>
      <c r="AJ96" s="47">
        <f>-SIN(AK93)</f>
        <v>-4.999999791666669E-4</v>
      </c>
      <c r="AK96" s="47">
        <v>0</v>
      </c>
      <c r="AL96" s="47">
        <f>COS(AK93)</f>
        <v>0.99999987500000265</v>
      </c>
      <c r="AM96" s="47">
        <v>0</v>
      </c>
      <c r="AN96" s="78"/>
      <c r="AO96" s="47">
        <v>0</v>
      </c>
      <c r="AP96" s="47">
        <v>0</v>
      </c>
      <c r="AQ96" s="47">
        <v>1</v>
      </c>
      <c r="AR96" s="47">
        <v>0</v>
      </c>
      <c r="AS96" s="78"/>
      <c r="AT96" s="28" t="s">
        <v>65</v>
      </c>
      <c r="AU96" s="47">
        <v>-199.59997501666717</v>
      </c>
      <c r="AV96" s="47">
        <f>AU96-$AC96</f>
        <v>0.40002498333282688</v>
      </c>
      <c r="AW96" s="47">
        <f>AV96/AF93</f>
        <v>800.04996666565376</v>
      </c>
      <c r="AX96" s="78"/>
      <c r="AY96" s="28" t="s">
        <v>65</v>
      </c>
      <c r="AZ96" s="47">
        <v>-199.94997500208385</v>
      </c>
      <c r="BA96" s="47">
        <f>AZ96-$AC96</f>
        <v>5.0024997916153779E-2</v>
      </c>
      <c r="BB96" s="47">
        <f>BA96/AK93</f>
        <v>100.04999583230756</v>
      </c>
      <c r="BC96" s="78"/>
      <c r="BD96" s="28" t="s">
        <v>65</v>
      </c>
      <c r="BE96" s="47">
        <v>-200</v>
      </c>
      <c r="BF96" s="47">
        <f>BE96-$AC96</f>
        <v>0</v>
      </c>
      <c r="BG96" s="47">
        <f>BF96/AP93</f>
        <v>0</v>
      </c>
    </row>
    <row r="97" spans="1:59" ht="15" customHeight="1">
      <c r="A97" s="350"/>
      <c r="B97" s="39" t="s">
        <v>102</v>
      </c>
      <c r="C97" s="41">
        <v>1</v>
      </c>
      <c r="E97" s="4" t="s">
        <v>80</v>
      </c>
      <c r="F97" s="47">
        <v>0</v>
      </c>
      <c r="G97" s="124">
        <f>CS_3!G8</f>
        <v>0</v>
      </c>
      <c r="H97" s="124">
        <f>CS_3!H8</f>
        <v>1.4346979560869992E-7</v>
      </c>
      <c r="I97" s="124">
        <f>CS_3!I8</f>
        <v>0</v>
      </c>
      <c r="J97" s="124">
        <f>CS_3!J8</f>
        <v>1.4346979560869994E-9</v>
      </c>
      <c r="K97" s="124">
        <f>CS_3!K8</f>
        <v>0</v>
      </c>
      <c r="L97" s="124">
        <f>CS_3!L8</f>
        <v>0</v>
      </c>
      <c r="M97" s="28">
        <f>C98</f>
        <v>0</v>
      </c>
      <c r="N97" s="44" t="s">
        <v>107</v>
      </c>
      <c r="O97" s="30">
        <f t="shared" si="22"/>
        <v>800.04996666565376</v>
      </c>
      <c r="P97" s="30">
        <f t="shared" si="23"/>
        <v>100.04999583230756</v>
      </c>
      <c r="Q97" s="30">
        <f t="shared" si="24"/>
        <v>0</v>
      </c>
      <c r="AC97" s="28">
        <v>1</v>
      </c>
      <c r="AD97" s="28"/>
      <c r="AE97" s="76">
        <v>0</v>
      </c>
      <c r="AF97" s="47">
        <v>0</v>
      </c>
      <c r="AG97" s="47">
        <v>0</v>
      </c>
      <c r="AH97" s="77">
        <v>1</v>
      </c>
      <c r="AI97" s="78"/>
      <c r="AJ97" s="47">
        <v>0</v>
      </c>
      <c r="AK97" s="47">
        <v>0</v>
      </c>
      <c r="AL97" s="47">
        <v>0</v>
      </c>
      <c r="AM97" s="47">
        <v>1</v>
      </c>
      <c r="AN97" s="78"/>
      <c r="AO97" s="47">
        <v>0</v>
      </c>
      <c r="AP97" s="47">
        <v>0</v>
      </c>
      <c r="AQ97" s="47">
        <v>0</v>
      </c>
      <c r="AR97" s="47">
        <v>1</v>
      </c>
      <c r="AS97" s="78"/>
      <c r="AT97" s="28"/>
      <c r="AU97" s="47">
        <v>1</v>
      </c>
      <c r="AV97" s="47"/>
      <c r="AW97" s="47"/>
      <c r="AX97" s="78"/>
      <c r="AY97" s="28"/>
      <c r="AZ97" s="47">
        <v>1</v>
      </c>
      <c r="BA97" s="47"/>
      <c r="BB97" s="47"/>
      <c r="BC97" s="78"/>
      <c r="BD97" s="28"/>
      <c r="BE97" s="47">
        <v>1</v>
      </c>
      <c r="BF97" s="47"/>
      <c r="BG97" s="47"/>
    </row>
    <row r="98" spans="1:59" ht="15" customHeight="1">
      <c r="A98" s="350"/>
      <c r="B98" s="39" t="s">
        <v>98</v>
      </c>
      <c r="C98" s="41">
        <f t="array" ref="C98:C101">MMULT(O66:R69,E74:E77)</f>
        <v>0</v>
      </c>
      <c r="E98" s="4" t="s">
        <v>81</v>
      </c>
      <c r="F98" s="47">
        <v>-1.7216375473043993E-5</v>
      </c>
      <c r="G98" s="124">
        <f>CS_3!G9</f>
        <v>-1.4346979560869992E-7</v>
      </c>
      <c r="H98" s="124">
        <f>CS_3!H9</f>
        <v>0</v>
      </c>
      <c r="I98" s="124">
        <f>CS_3!I9</f>
        <v>0</v>
      </c>
      <c r="J98" s="124">
        <f>CS_3!J9</f>
        <v>0</v>
      </c>
      <c r="K98" s="124">
        <f>CS_3!K9</f>
        <v>1.4346979560869994E-9</v>
      </c>
      <c r="L98" s="124">
        <f>CS_3!L9</f>
        <v>0</v>
      </c>
      <c r="M98" s="28">
        <f>C99</f>
        <v>-12000</v>
      </c>
      <c r="O98" s="3" t="s">
        <v>77</v>
      </c>
      <c r="T98" s="3" t="s">
        <v>78</v>
      </c>
      <c r="AE98" t="s">
        <v>90</v>
      </c>
      <c r="AJ98" t="s">
        <v>89</v>
      </c>
      <c r="AO98" t="s">
        <v>91</v>
      </c>
    </row>
    <row r="99" spans="1:59" ht="15" customHeight="1">
      <c r="A99" s="350"/>
      <c r="B99" s="39" t="s">
        <v>99</v>
      </c>
      <c r="C99" s="41">
        <v>-12000</v>
      </c>
      <c r="E99" s="4" t="s">
        <v>82</v>
      </c>
      <c r="F99" s="47">
        <v>0</v>
      </c>
      <c r="G99" s="124">
        <f>CS_3!G10</f>
        <v>0</v>
      </c>
      <c r="H99" s="124">
        <f>CS_3!H10</f>
        <v>0</v>
      </c>
      <c r="I99" s="124">
        <f>CS_3!I10</f>
        <v>0</v>
      </c>
      <c r="J99" s="124">
        <f>CS_3!J10</f>
        <v>0</v>
      </c>
      <c r="K99" s="124">
        <f>CS_3!K10</f>
        <v>0</v>
      </c>
      <c r="L99" s="124">
        <f>CS_3!L10</f>
        <v>2.5545048416650632E-9</v>
      </c>
      <c r="M99" s="28">
        <f>C100</f>
        <v>0</v>
      </c>
      <c r="O99" s="30">
        <f t="array" ref="O99:R102">MMULT(AO99:AR102,MMULT(AJ99:AM102,AE99:AH102))</f>
        <v>1</v>
      </c>
      <c r="P99" s="30">
        <v>0</v>
      </c>
      <c r="Q99" s="30">
        <v>0</v>
      </c>
      <c r="R99" s="30">
        <v>0</v>
      </c>
      <c r="S99" s="11"/>
      <c r="T99" s="30">
        <f t="array" ref="T99:W102">IF(A120=1,MMULT(T132:W135,O99:R102),T$363:W$366)</f>
        <v>1</v>
      </c>
      <c r="U99" s="30">
        <v>0</v>
      </c>
      <c r="V99" s="30">
        <v>0</v>
      </c>
      <c r="W99" s="30">
        <v>0</v>
      </c>
      <c r="X99" s="30"/>
      <c r="Y99" s="30"/>
      <c r="Z99" s="30"/>
      <c r="AA99" s="30"/>
      <c r="AB99" t="s">
        <v>68</v>
      </c>
      <c r="AC99" s="28">
        <f t="array" ref="AC99:AC102">MMULT(O99:R102,AC94:AC97)</f>
        <v>-100</v>
      </c>
      <c r="AD99" s="28"/>
      <c r="AE99" s="27">
        <v>1</v>
      </c>
      <c r="AF99" s="28">
        <v>0</v>
      </c>
      <c r="AG99" s="28">
        <v>0</v>
      </c>
      <c r="AH99" s="29">
        <v>0</v>
      </c>
      <c r="AJ99" s="27">
        <f>COS(PI()*C84/180)</f>
        <v>1</v>
      </c>
      <c r="AK99" s="28">
        <v>0</v>
      </c>
      <c r="AL99" s="28">
        <f>SIN(PI()*C84/180)</f>
        <v>0</v>
      </c>
      <c r="AM99" s="29">
        <v>0</v>
      </c>
      <c r="AO99" s="27">
        <f>COS(PI()*C85/180)</f>
        <v>1</v>
      </c>
      <c r="AP99" s="28">
        <f>-SIN(PI()*C85/180)</f>
        <v>0</v>
      </c>
      <c r="AQ99" s="28">
        <v>0</v>
      </c>
      <c r="AR99" s="29">
        <v>0</v>
      </c>
    </row>
    <row r="100" spans="1:59" ht="15" customHeight="1">
      <c r="A100" s="350"/>
      <c r="B100" s="39" t="s">
        <v>100</v>
      </c>
      <c r="C100" s="41">
        <v>0</v>
      </c>
      <c r="G100" s="105"/>
      <c r="H100" s="105"/>
      <c r="I100" s="105"/>
      <c r="J100" s="117"/>
      <c r="K100" s="117"/>
      <c r="L100" s="117"/>
      <c r="M100" s="117"/>
      <c r="O100" s="30">
        <v>0</v>
      </c>
      <c r="P100" s="30">
        <v>1</v>
      </c>
      <c r="Q100" s="30">
        <v>0</v>
      </c>
      <c r="R100" s="30">
        <v>0</v>
      </c>
      <c r="S100" s="11"/>
      <c r="T100" s="30">
        <v>0</v>
      </c>
      <c r="U100" s="30">
        <v>1</v>
      </c>
      <c r="V100" s="30">
        <v>0</v>
      </c>
      <c r="W100" s="30">
        <v>0</v>
      </c>
      <c r="X100" s="30"/>
      <c r="Y100" s="30"/>
      <c r="Z100" s="30"/>
      <c r="AA100" s="30"/>
      <c r="AB100" t="s">
        <v>69</v>
      </c>
      <c r="AC100" s="28">
        <v>800</v>
      </c>
      <c r="AD100" s="28"/>
      <c r="AE100" s="27">
        <v>0</v>
      </c>
      <c r="AF100" s="28">
        <f>COS(PI()*C83/180)</f>
        <v>1</v>
      </c>
      <c r="AG100" s="28">
        <f>-SIN(PI()*C83/180)</f>
        <v>0</v>
      </c>
      <c r="AH100" s="29">
        <v>0</v>
      </c>
      <c r="AJ100" s="27">
        <v>0</v>
      </c>
      <c r="AK100" s="28">
        <v>1</v>
      </c>
      <c r="AL100" s="28">
        <v>0</v>
      </c>
      <c r="AM100" s="29">
        <v>0</v>
      </c>
      <c r="AO100" s="27">
        <f>SIN(PI()*C85/180)</f>
        <v>0</v>
      </c>
      <c r="AP100" s="28">
        <f>AO99</f>
        <v>1</v>
      </c>
      <c r="AQ100" s="28">
        <v>0</v>
      </c>
      <c r="AR100" s="29">
        <v>0</v>
      </c>
    </row>
    <row r="101" spans="1:59" ht="15" customHeight="1">
      <c r="A101" s="350"/>
      <c r="B101" s="39" t="s">
        <v>102</v>
      </c>
      <c r="C101" s="41">
        <v>1</v>
      </c>
      <c r="G101" s="105"/>
      <c r="H101" s="105"/>
      <c r="I101" s="105"/>
      <c r="J101" s="117"/>
      <c r="K101" s="117"/>
      <c r="L101" s="117"/>
      <c r="M101" s="117"/>
      <c r="O101" s="30">
        <v>0</v>
      </c>
      <c r="P101" s="30">
        <v>0</v>
      </c>
      <c r="Q101" s="30">
        <v>1</v>
      </c>
      <c r="R101" s="30">
        <v>0</v>
      </c>
      <c r="S101" s="11"/>
      <c r="T101" s="30">
        <v>0</v>
      </c>
      <c r="U101" s="30">
        <v>0</v>
      </c>
      <c r="V101" s="30">
        <v>1</v>
      </c>
      <c r="W101" s="30">
        <v>0</v>
      </c>
      <c r="X101" s="30"/>
      <c r="Y101" s="30"/>
      <c r="Z101" s="30"/>
      <c r="AA101" s="30"/>
      <c r="AB101" t="s">
        <v>70</v>
      </c>
      <c r="AC101" s="28">
        <v>-200</v>
      </c>
      <c r="AD101" s="28"/>
      <c r="AE101" s="27">
        <v>0</v>
      </c>
      <c r="AF101" s="28">
        <f>SIN(PI()*C83/180)</f>
        <v>0</v>
      </c>
      <c r="AG101" s="28">
        <f>AF100</f>
        <v>1</v>
      </c>
      <c r="AH101" s="29">
        <v>0</v>
      </c>
      <c r="AJ101" s="27">
        <f>-SIN(PI()*C84/180)</f>
        <v>0</v>
      </c>
      <c r="AK101" s="28">
        <v>0</v>
      </c>
      <c r="AL101" s="28">
        <f>AJ99</f>
        <v>1</v>
      </c>
      <c r="AM101" s="29">
        <v>0</v>
      </c>
      <c r="AO101" s="27">
        <v>0</v>
      </c>
      <c r="AP101" s="28">
        <v>0</v>
      </c>
      <c r="AQ101" s="28">
        <v>1</v>
      </c>
      <c r="AR101" s="29">
        <v>0</v>
      </c>
    </row>
    <row r="102" spans="1:59" s="114" customFormat="1">
      <c r="A102" s="350"/>
      <c r="B102" s="75" t="s">
        <v>173</v>
      </c>
      <c r="C102"/>
      <c r="D102" s="87" t="s">
        <v>232</v>
      </c>
      <c r="E102"/>
      <c r="F102"/>
      <c r="G102" s="128"/>
      <c r="H102" s="119"/>
      <c r="I102" s="119"/>
      <c r="J102" s="126"/>
      <c r="K102" s="126"/>
      <c r="L102" s="126"/>
      <c r="M102" s="126"/>
      <c r="O102" s="115">
        <v>0</v>
      </c>
      <c r="P102" s="115">
        <v>0</v>
      </c>
      <c r="Q102" s="115">
        <v>0</v>
      </c>
      <c r="R102" s="115">
        <v>1</v>
      </c>
      <c r="S102" s="116"/>
      <c r="T102" s="115">
        <v>0</v>
      </c>
      <c r="U102" s="115">
        <v>0</v>
      </c>
      <c r="V102" s="115">
        <v>0</v>
      </c>
      <c r="W102" s="115">
        <v>1</v>
      </c>
      <c r="X102" s="115"/>
      <c r="Y102" s="115"/>
      <c r="Z102" s="115"/>
      <c r="AA102" s="115"/>
      <c r="AC102" s="31">
        <v>1</v>
      </c>
      <c r="AD102" s="31"/>
      <c r="AE102" s="31">
        <v>0</v>
      </c>
      <c r="AF102" s="31">
        <v>0</v>
      </c>
      <c r="AG102" s="31">
        <v>0</v>
      </c>
      <c r="AH102" s="31">
        <v>1</v>
      </c>
      <c r="AJ102" s="31">
        <v>0</v>
      </c>
      <c r="AK102" s="31">
        <v>0</v>
      </c>
      <c r="AL102" s="31">
        <v>0</v>
      </c>
      <c r="AM102" s="31">
        <v>1</v>
      </c>
      <c r="AO102" s="31">
        <v>0</v>
      </c>
      <c r="AP102" s="31">
        <v>0</v>
      </c>
      <c r="AQ102" s="31">
        <v>0</v>
      </c>
      <c r="AR102" s="31">
        <v>1</v>
      </c>
    </row>
    <row r="103" spans="1:59" s="114" customFormat="1" ht="17">
      <c r="A103" s="350"/>
      <c r="B103" s="39" t="s">
        <v>95</v>
      </c>
      <c r="C103" s="40">
        <v>0</v>
      </c>
      <c r="D103" s="39" t="s">
        <v>95</v>
      </c>
      <c r="E103" s="41">
        <f>C94+C103</f>
        <v>0</v>
      </c>
      <c r="G103" s="119"/>
      <c r="H103" s="119"/>
      <c r="I103" s="119"/>
      <c r="J103" s="126"/>
      <c r="K103" s="126"/>
      <c r="L103" s="126"/>
      <c r="M103" s="126"/>
      <c r="O103" s="115"/>
      <c r="P103" s="115"/>
      <c r="Q103" s="115"/>
      <c r="R103" s="115"/>
      <c r="S103" s="116"/>
      <c r="T103" s="115"/>
      <c r="U103" s="115"/>
      <c r="V103" s="115"/>
      <c r="W103" s="115"/>
      <c r="X103" s="115"/>
      <c r="Y103" s="115"/>
      <c r="Z103" s="115"/>
      <c r="AA103" s="115"/>
      <c r="AC103" s="31"/>
      <c r="AD103" s="31"/>
      <c r="AE103" s="31"/>
      <c r="AF103" s="31"/>
      <c r="AG103" s="31"/>
      <c r="AH103" s="31"/>
      <c r="AJ103" s="31"/>
      <c r="AK103" s="31"/>
      <c r="AL103" s="31"/>
      <c r="AM103" s="31"/>
      <c r="AO103" s="31"/>
      <c r="AP103" s="31"/>
      <c r="AQ103" s="31"/>
      <c r="AR103" s="31"/>
    </row>
    <row r="104" spans="1:59" s="114" customFormat="1" ht="17">
      <c r="A104" s="350"/>
      <c r="B104" s="39" t="s">
        <v>96</v>
      </c>
      <c r="C104" s="40">
        <v>0</v>
      </c>
      <c r="D104" s="39" t="s">
        <v>96</v>
      </c>
      <c r="E104" s="41">
        <f>C95+C104</f>
        <v>0</v>
      </c>
      <c r="G104" s="119"/>
      <c r="H104" s="119"/>
      <c r="I104" s="119"/>
      <c r="J104" s="126"/>
      <c r="K104" s="126"/>
      <c r="L104" s="126"/>
      <c r="M104" s="126"/>
      <c r="O104" s="115"/>
      <c r="P104" s="115"/>
      <c r="Q104" s="115"/>
      <c r="R104" s="115"/>
      <c r="S104" s="116"/>
      <c r="T104" s="115"/>
      <c r="U104" s="115"/>
      <c r="V104" s="115"/>
      <c r="W104" s="115"/>
      <c r="X104" s="115"/>
      <c r="Y104" s="115"/>
      <c r="Z104" s="115"/>
      <c r="AA104" s="115"/>
      <c r="AC104" s="31"/>
      <c r="AD104" s="31"/>
      <c r="AE104" s="31"/>
      <c r="AF104" s="31"/>
      <c r="AG104" s="31"/>
      <c r="AH104" s="31"/>
      <c r="AJ104" s="31"/>
      <c r="AK104" s="31"/>
      <c r="AL104" s="31"/>
      <c r="AM104" s="31"/>
      <c r="AO104" s="31"/>
      <c r="AP104" s="31"/>
      <c r="AQ104" s="31"/>
      <c r="AR104" s="31"/>
    </row>
    <row r="105" spans="1:59" s="114" customFormat="1" ht="17">
      <c r="A105" s="350"/>
      <c r="B105" s="39" t="s">
        <v>97</v>
      </c>
      <c r="C105" s="40">
        <v>-400</v>
      </c>
      <c r="D105" s="39" t="s">
        <v>97</v>
      </c>
      <c r="E105" s="41">
        <f>C96+C105</f>
        <v>-820</v>
      </c>
      <c r="G105" s="119"/>
      <c r="H105" s="119"/>
      <c r="I105" s="119"/>
      <c r="J105" s="126"/>
      <c r="K105" s="126"/>
      <c r="L105" s="126"/>
      <c r="M105" s="126"/>
      <c r="O105" s="115"/>
      <c r="P105" s="115"/>
      <c r="Q105" s="115"/>
      <c r="R105" s="115"/>
      <c r="S105" s="116"/>
      <c r="T105" s="115"/>
      <c r="U105" s="115"/>
      <c r="V105" s="115"/>
      <c r="W105" s="115"/>
      <c r="X105" s="115"/>
      <c r="Y105" s="115"/>
      <c r="Z105" s="115"/>
      <c r="AA105" s="115"/>
      <c r="AC105" s="31"/>
      <c r="AD105" s="31"/>
      <c r="AE105" s="31"/>
      <c r="AF105" s="31"/>
      <c r="AG105" s="31"/>
      <c r="AH105" s="31"/>
      <c r="AJ105" s="31"/>
      <c r="AK105" s="31"/>
      <c r="AL105" s="31"/>
      <c r="AM105" s="31"/>
      <c r="AO105" s="31"/>
      <c r="AP105" s="31"/>
      <c r="AQ105" s="31"/>
      <c r="AR105" s="31"/>
    </row>
    <row r="106" spans="1:59" s="114" customFormat="1" ht="17">
      <c r="A106" s="350"/>
      <c r="B106" s="122" t="s">
        <v>102</v>
      </c>
      <c r="C106" s="123">
        <v>1</v>
      </c>
      <c r="D106" s="122" t="s">
        <v>102</v>
      </c>
      <c r="E106" s="123">
        <v>1</v>
      </c>
      <c r="G106" s="119"/>
      <c r="H106" s="119"/>
      <c r="I106" s="119"/>
      <c r="J106" s="126"/>
      <c r="K106" s="126"/>
      <c r="L106" s="126"/>
      <c r="M106" s="126"/>
      <c r="O106" s="115"/>
      <c r="P106" s="115"/>
      <c r="Q106" s="115"/>
      <c r="R106" s="115"/>
      <c r="S106" s="116"/>
      <c r="T106" s="115"/>
      <c r="U106" s="115"/>
      <c r="V106" s="115"/>
      <c r="W106" s="115"/>
      <c r="X106" s="115"/>
      <c r="Y106" s="115"/>
      <c r="Z106" s="115"/>
      <c r="AA106" s="115"/>
      <c r="AC106" s="31"/>
      <c r="AD106" s="31"/>
      <c r="AE106" s="31"/>
      <c r="AF106" s="31"/>
      <c r="AG106" s="31"/>
      <c r="AH106" s="31"/>
      <c r="AJ106" s="31"/>
      <c r="AK106" s="31"/>
      <c r="AL106" s="31"/>
      <c r="AM106" s="31"/>
      <c r="AO106" s="31"/>
      <c r="AP106" s="31"/>
      <c r="AQ106" s="31"/>
      <c r="AR106" s="31"/>
    </row>
    <row r="107" spans="1:59" s="114" customFormat="1" ht="17">
      <c r="A107" s="350"/>
      <c r="B107" s="39" t="s">
        <v>98</v>
      </c>
      <c r="C107" s="40">
        <v>0</v>
      </c>
      <c r="D107" s="39" t="s">
        <v>98</v>
      </c>
      <c r="E107" s="41">
        <f>C98+C107+C96*C54-C95*C55</f>
        <v>-336000</v>
      </c>
      <c r="F107" s="122"/>
      <c r="G107" s="126"/>
      <c r="H107" s="129"/>
      <c r="I107" s="126"/>
      <c r="J107" s="126"/>
      <c r="K107" s="126"/>
      <c r="L107" s="126"/>
      <c r="M107" s="126"/>
      <c r="O107" s="115"/>
      <c r="P107" s="115"/>
      <c r="Q107" s="115"/>
      <c r="R107" s="115"/>
      <c r="S107" s="116"/>
      <c r="T107" s="115"/>
      <c r="U107" s="115"/>
      <c r="V107" s="115"/>
      <c r="W107" s="115"/>
      <c r="X107" s="115"/>
      <c r="Y107" s="115"/>
      <c r="Z107" s="115"/>
      <c r="AA107" s="115"/>
      <c r="AC107" s="31"/>
      <c r="AD107" s="31"/>
      <c r="AE107" s="31"/>
      <c r="AF107" s="31"/>
      <c r="AG107" s="31"/>
      <c r="AH107" s="31"/>
      <c r="AJ107" s="31"/>
      <c r="AK107" s="31"/>
      <c r="AL107" s="31"/>
      <c r="AM107" s="31"/>
      <c r="AO107" s="31"/>
      <c r="AP107" s="31"/>
      <c r="AQ107" s="31"/>
      <c r="AR107" s="31"/>
    </row>
    <row r="108" spans="1:59" s="114" customFormat="1" ht="17">
      <c r="A108" s="350"/>
      <c r="B108" s="39" t="s">
        <v>99</v>
      </c>
      <c r="C108" s="40">
        <v>0</v>
      </c>
      <c r="D108" s="39" t="s">
        <v>99</v>
      </c>
      <c r="E108" s="41">
        <f>C99+C108+C94*C55-C96*C53</f>
        <v>-12000</v>
      </c>
      <c r="F108" s="122"/>
      <c r="G108" s="126"/>
      <c r="H108" s="129"/>
      <c r="I108" s="126"/>
      <c r="J108" s="126"/>
      <c r="K108" s="126"/>
      <c r="L108" s="126"/>
      <c r="M108" s="126"/>
      <c r="O108" s="115"/>
      <c r="P108" s="115"/>
      <c r="Q108" s="115"/>
      <c r="R108" s="115"/>
      <c r="S108" s="116"/>
      <c r="T108" s="115"/>
      <c r="U108" s="115"/>
      <c r="V108" s="115"/>
      <c r="W108" s="115"/>
      <c r="X108" s="115"/>
      <c r="Y108" s="115"/>
      <c r="Z108" s="115"/>
      <c r="AA108" s="115"/>
      <c r="AC108" s="31"/>
      <c r="AD108" s="31"/>
      <c r="AE108" s="31"/>
      <c r="AF108" s="31"/>
      <c r="AG108" s="31"/>
      <c r="AH108" s="31"/>
      <c r="AJ108" s="31"/>
      <c r="AK108" s="31"/>
      <c r="AL108" s="31"/>
      <c r="AM108" s="31"/>
      <c r="AO108" s="31"/>
      <c r="AP108" s="31"/>
      <c r="AQ108" s="31"/>
      <c r="AR108" s="31"/>
    </row>
    <row r="109" spans="1:59" s="114" customFormat="1" ht="17">
      <c r="A109" s="350"/>
      <c r="B109" s="122" t="s">
        <v>100</v>
      </c>
      <c r="C109" s="125">
        <v>0</v>
      </c>
      <c r="D109" s="39" t="s">
        <v>100</v>
      </c>
      <c r="E109" s="41">
        <f>C100+C109+C95*C53-C94*C54</f>
        <v>0</v>
      </c>
      <c r="F109" s="122"/>
      <c r="G109" s="126"/>
      <c r="H109" s="129"/>
      <c r="I109" s="126"/>
      <c r="J109" s="126"/>
      <c r="K109" s="126"/>
      <c r="L109" s="126"/>
      <c r="M109" s="126"/>
      <c r="O109" s="115"/>
      <c r="P109" s="115"/>
      <c r="Q109" s="115"/>
      <c r="R109" s="115"/>
      <c r="S109" s="116"/>
      <c r="T109" s="115"/>
      <c r="U109" s="115"/>
      <c r="V109" s="115"/>
      <c r="W109" s="115"/>
      <c r="X109" s="115"/>
      <c r="Y109" s="115"/>
      <c r="Z109" s="115"/>
      <c r="AA109" s="115"/>
      <c r="AC109" s="31"/>
      <c r="AD109" s="31"/>
      <c r="AE109" s="31"/>
      <c r="AF109" s="31"/>
      <c r="AG109" s="31"/>
      <c r="AH109" s="31"/>
      <c r="AJ109" s="31"/>
      <c r="AK109" s="31"/>
      <c r="AL109" s="31"/>
      <c r="AM109" s="31"/>
      <c r="AO109" s="31"/>
      <c r="AP109" s="31"/>
      <c r="AQ109" s="31"/>
      <c r="AR109" s="31"/>
    </row>
    <row r="110" spans="1:59" s="50" customFormat="1" ht="18" thickBot="1">
      <c r="A110" s="351"/>
      <c r="B110" s="55" t="s">
        <v>102</v>
      </c>
      <c r="C110" s="56">
        <v>1</v>
      </c>
      <c r="D110" s="55" t="s">
        <v>102</v>
      </c>
      <c r="E110" s="56">
        <v>1</v>
      </c>
      <c r="F110" s="55"/>
      <c r="G110" s="127"/>
      <c r="H110" s="130"/>
      <c r="I110" s="127"/>
      <c r="J110" s="127"/>
      <c r="K110" s="127"/>
      <c r="L110" s="127"/>
      <c r="M110" s="127"/>
      <c r="O110" s="51"/>
      <c r="P110" s="51"/>
      <c r="Q110" s="51"/>
      <c r="R110" s="51"/>
      <c r="S110" s="52"/>
      <c r="T110" s="51"/>
      <c r="U110" s="51"/>
      <c r="V110" s="51"/>
      <c r="W110" s="51"/>
      <c r="X110" s="51"/>
      <c r="Y110" s="51"/>
      <c r="Z110" s="51"/>
      <c r="AA110" s="51"/>
      <c r="AC110" s="53"/>
      <c r="AD110" s="53"/>
      <c r="AE110" s="53"/>
      <c r="AF110" s="53"/>
      <c r="AG110" s="53"/>
      <c r="AH110" s="53"/>
      <c r="AJ110" s="53"/>
      <c r="AK110" s="53"/>
      <c r="AL110" s="53"/>
      <c r="AM110" s="53"/>
      <c r="AO110" s="53"/>
      <c r="AP110" s="53"/>
      <c r="AQ110" s="53"/>
      <c r="AR110" s="53"/>
    </row>
    <row r="111" spans="1:59" ht="15" customHeight="1">
      <c r="A111" s="348" t="s">
        <v>310</v>
      </c>
      <c r="B111" s="66" t="s">
        <v>236</v>
      </c>
      <c r="E111" s="1" t="s">
        <v>135</v>
      </c>
    </row>
    <row r="112" spans="1:59" ht="15" customHeight="1">
      <c r="A112" s="348"/>
      <c r="B112" s="12" t="s">
        <v>73</v>
      </c>
      <c r="C112" s="54">
        <f>C90</f>
        <v>-250</v>
      </c>
      <c r="E112" s="336" t="s">
        <v>130</v>
      </c>
      <c r="F112" s="336"/>
      <c r="G112" s="336" t="s">
        <v>131</v>
      </c>
      <c r="H112" s="336"/>
      <c r="N112" s="33" t="s">
        <v>93</v>
      </c>
      <c r="O112" s="1"/>
      <c r="P112" s="65"/>
      <c r="Q112" s="1"/>
      <c r="R112" s="1"/>
      <c r="S112" s="33" t="s">
        <v>128</v>
      </c>
      <c r="Y112" s="90" t="s">
        <v>283</v>
      </c>
    </row>
    <row r="113" spans="1:62" ht="15" customHeight="1">
      <c r="A113" s="348"/>
      <c r="B113" s="12" t="s">
        <v>74</v>
      </c>
      <c r="C113" s="54">
        <f>C91</f>
        <v>1000</v>
      </c>
      <c r="E113" s="44" t="s">
        <v>79</v>
      </c>
      <c r="F113" s="46">
        <f>CS_4!B45</f>
        <v>5.0000000000000001E-3</v>
      </c>
      <c r="G113" s="44" t="s">
        <v>79</v>
      </c>
      <c r="H113" s="46">
        <f>CS_4!B52</f>
        <v>0</v>
      </c>
      <c r="O113" t="s">
        <v>83</v>
      </c>
      <c r="P113" s="7" t="s">
        <v>84</v>
      </c>
      <c r="Q113" s="25" t="s">
        <v>85</v>
      </c>
      <c r="R113" s="25" t="s">
        <v>86</v>
      </c>
      <c r="T113" t="s">
        <v>83</v>
      </c>
      <c r="U113" s="7" t="s">
        <v>84</v>
      </c>
      <c r="V113" s="25" t="s">
        <v>85</v>
      </c>
      <c r="W113" s="25" t="s">
        <v>86</v>
      </c>
      <c r="Y113" t="s">
        <v>83</v>
      </c>
      <c r="Z113" s="7" t="s">
        <v>84</v>
      </c>
      <c r="AA113" s="25" t="s">
        <v>85</v>
      </c>
      <c r="AB113" s="25" t="s">
        <v>86</v>
      </c>
    </row>
    <row r="114" spans="1:62" ht="15" customHeight="1">
      <c r="A114" s="348"/>
      <c r="B114" s="12" t="s">
        <v>75</v>
      </c>
      <c r="C114" s="54">
        <f>C92</f>
        <v>-200</v>
      </c>
      <c r="E114" s="44" t="s">
        <v>106</v>
      </c>
      <c r="F114" s="46">
        <f>CS_4!B46</f>
        <v>5.0000000000000001E-3</v>
      </c>
      <c r="G114" s="44" t="s">
        <v>106</v>
      </c>
      <c r="H114" s="46">
        <f>CS_4!B53</f>
        <v>0</v>
      </c>
      <c r="N114" s="44" t="s">
        <v>79</v>
      </c>
      <c r="O114" s="48">
        <f>ABS(F113)</f>
        <v>5.0000000000000001E-3</v>
      </c>
      <c r="P114" s="48">
        <f>ABS(F116*O128)</f>
        <v>0</v>
      </c>
      <c r="Q114" s="48">
        <f>ABS(F117*P128)</f>
        <v>1.9998749966674723E-2</v>
      </c>
      <c r="R114" s="48">
        <f>ABS(F118*Q128)</f>
        <v>9.9998749833332568E-2</v>
      </c>
      <c r="S114" s="44" t="s">
        <v>79</v>
      </c>
      <c r="T114" s="47">
        <f t="array" ref="T114:W117">ABS(MMULT(T132:W135,O114:R117))</f>
        <v>5.0000000000000001E-3</v>
      </c>
      <c r="U114" s="47">
        <v>0</v>
      </c>
      <c r="V114" s="47">
        <v>1.9998749966674723E-2</v>
      </c>
      <c r="W114" s="47">
        <v>9.9998749833332568E-2</v>
      </c>
      <c r="X114" s="68" t="s">
        <v>79</v>
      </c>
      <c r="Y114" s="47">
        <f>F120+F127</f>
        <v>0</v>
      </c>
      <c r="Z114" s="28">
        <f>F123*O128</f>
        <v>0</v>
      </c>
      <c r="AA114" s="28">
        <f>F124*P128</f>
        <v>4.0876857011655715E-3</v>
      </c>
      <c r="AB114" s="28">
        <f>F125*Q128</f>
        <v>0</v>
      </c>
    </row>
    <row r="115" spans="1:62" ht="15" customHeight="1">
      <c r="A115" s="58">
        <v>4</v>
      </c>
      <c r="B115" s="1" t="s">
        <v>76</v>
      </c>
      <c r="E115" s="44" t="s">
        <v>107</v>
      </c>
      <c r="F115" s="46">
        <f>CS_4!B47</f>
        <v>5.0000000000000001E-3</v>
      </c>
      <c r="G115" s="44" t="s">
        <v>107</v>
      </c>
      <c r="H115" s="46">
        <f>CS_4!B54</f>
        <v>0</v>
      </c>
      <c r="N115" s="44" t="s">
        <v>106</v>
      </c>
      <c r="O115" s="48">
        <f t="shared" ref="O115:O116" si="25">ABS(F114)</f>
        <v>5.0000000000000001E-3</v>
      </c>
      <c r="P115" s="48">
        <f>ABS(F116*O129)</f>
        <v>1.999499976682273E-2</v>
      </c>
      <c r="Q115" s="48">
        <f>ABS(F117*P129)</f>
        <v>0</v>
      </c>
      <c r="R115" s="48">
        <f>ABS(F118*Q129)</f>
        <v>2.5004999958355256E-2</v>
      </c>
      <c r="S115" s="44" t="s">
        <v>106</v>
      </c>
      <c r="T115" s="47">
        <v>5.0000000000000001E-3</v>
      </c>
      <c r="U115" s="47">
        <v>1.999499976682273E-2</v>
      </c>
      <c r="V115" s="47">
        <v>0</v>
      </c>
      <c r="W115" s="47">
        <v>2.5004999958355256E-2</v>
      </c>
      <c r="X115" s="68" t="s">
        <v>106</v>
      </c>
      <c r="Y115" s="47">
        <f t="shared" ref="Y115:Y116" si="26">F121+F128</f>
        <v>0</v>
      </c>
      <c r="Z115" s="28">
        <f>F123*O129</f>
        <v>-1.4543140261313002E-2</v>
      </c>
      <c r="AA115" s="28">
        <f>F124*P129</f>
        <v>0</v>
      </c>
      <c r="AB115" s="28">
        <f>F125*Q129</f>
        <v>0</v>
      </c>
    </row>
    <row r="116" spans="1:62" ht="15" customHeight="1">
      <c r="A116" s="41">
        <f>IF(A115&gt;Naxes,0,1)</f>
        <v>1</v>
      </c>
      <c r="B116" s="2" t="s">
        <v>168</v>
      </c>
      <c r="C116" s="35">
        <v>0</v>
      </c>
      <c r="E116" s="4" t="s">
        <v>80</v>
      </c>
      <c r="F116" s="46">
        <f>CS_4!B48</f>
        <v>9.9999999000000077E-5</v>
      </c>
      <c r="G116" s="4" t="s">
        <v>80</v>
      </c>
      <c r="H116" s="46">
        <f>CS_4!B55</f>
        <v>0</v>
      </c>
      <c r="N116" s="44" t="s">
        <v>107</v>
      </c>
      <c r="O116" s="48">
        <f t="shared" si="25"/>
        <v>5.0000000000000001E-3</v>
      </c>
      <c r="P116" s="48">
        <f>ABS(F116*O130)</f>
        <v>0.10000099883330904</v>
      </c>
      <c r="Q116" s="48">
        <f>ABS(F117*P130)</f>
        <v>2.5000999958336934E-2</v>
      </c>
      <c r="R116" s="48">
        <f>ABS(F118*Q130)</f>
        <v>0</v>
      </c>
      <c r="S116" s="44" t="s">
        <v>107</v>
      </c>
      <c r="T116" s="47">
        <v>5.0000000000000001E-3</v>
      </c>
      <c r="U116" s="47">
        <v>0.10000099883330904</v>
      </c>
      <c r="V116" s="47">
        <v>2.5000999958336934E-2</v>
      </c>
      <c r="W116" s="47">
        <v>0</v>
      </c>
      <c r="X116" s="68" t="s">
        <v>107</v>
      </c>
      <c r="Y116" s="47">
        <f t="shared" si="26"/>
        <v>-7.0324574961360125E-4</v>
      </c>
      <c r="Z116" s="28">
        <f>F123*O130</f>
        <v>-7.2734612116242547E-2</v>
      </c>
      <c r="AA116" s="28">
        <f>F124*P130</f>
        <v>-5.1101308939224431E-3</v>
      </c>
      <c r="AB116" s="28">
        <f>F125*Q130</f>
        <v>0</v>
      </c>
    </row>
    <row r="117" spans="1:62" ht="15" customHeight="1">
      <c r="A117" s="346" t="s">
        <v>121</v>
      </c>
      <c r="B117" s="2" t="s">
        <v>170</v>
      </c>
      <c r="C117" s="35">
        <v>0</v>
      </c>
      <c r="E117" s="4" t="s">
        <v>81</v>
      </c>
      <c r="F117" s="46">
        <f>CS_4!B49</f>
        <v>1.0000000000000007E-4</v>
      </c>
      <c r="G117" s="4" t="s">
        <v>81</v>
      </c>
      <c r="H117" s="46">
        <f>CS_4!B56</f>
        <v>0</v>
      </c>
      <c r="N117" s="6" t="s">
        <v>102</v>
      </c>
      <c r="O117" s="28">
        <v>1</v>
      </c>
      <c r="P117" s="28">
        <v>1</v>
      </c>
      <c r="Q117" s="28">
        <v>1</v>
      </c>
      <c r="R117" s="28">
        <v>1</v>
      </c>
      <c r="S117" s="6" t="s">
        <v>102</v>
      </c>
      <c r="T117" s="47">
        <v>1</v>
      </c>
      <c r="U117" s="47">
        <v>1</v>
      </c>
      <c r="V117" s="47">
        <v>1</v>
      </c>
      <c r="W117" s="47">
        <v>1</v>
      </c>
      <c r="X117" s="6" t="s">
        <v>102</v>
      </c>
      <c r="Y117" s="28">
        <v>1</v>
      </c>
      <c r="Z117" s="28">
        <v>1</v>
      </c>
      <c r="AA117" s="28">
        <v>1</v>
      </c>
      <c r="AB117" s="28">
        <v>1</v>
      </c>
    </row>
    <row r="118" spans="1:62" ht="15" customHeight="1">
      <c r="A118" s="346"/>
      <c r="B118" s="2" t="s">
        <v>169</v>
      </c>
      <c r="C118" s="35">
        <v>0</v>
      </c>
      <c r="E118" s="4" t="s">
        <v>82</v>
      </c>
      <c r="F118" s="46">
        <f>CS_4!B50</f>
        <v>1.0000000000000007E-4</v>
      </c>
      <c r="G118" s="4" t="s">
        <v>82</v>
      </c>
      <c r="H118" s="46">
        <f>CS_4!B57</f>
        <v>0</v>
      </c>
      <c r="X118" s="6"/>
    </row>
    <row r="119" spans="1:62" ht="33" customHeight="1">
      <c r="A119" s="346"/>
      <c r="B119" s="2" t="s">
        <v>402</v>
      </c>
      <c r="C119" s="300">
        <f>Summary!K18</f>
        <v>250</v>
      </c>
      <c r="D119" s="356" t="s">
        <v>411</v>
      </c>
      <c r="E119" s="347" t="s">
        <v>289</v>
      </c>
      <c r="F119" s="347"/>
      <c r="G119" s="336" t="s">
        <v>237</v>
      </c>
      <c r="H119" s="336"/>
      <c r="I119" s="347" t="s">
        <v>292</v>
      </c>
      <c r="J119" s="347"/>
      <c r="K119" s="347" t="s">
        <v>290</v>
      </c>
      <c r="L119" s="347"/>
      <c r="N119" s="33" t="s">
        <v>94</v>
      </c>
      <c r="O119" s="1"/>
      <c r="P119" s="65"/>
      <c r="Q119" s="1"/>
      <c r="R119" s="1"/>
      <c r="S119" s="33" t="s">
        <v>129</v>
      </c>
      <c r="X119" s="6"/>
      <c r="Y119" s="90" t="s">
        <v>282</v>
      </c>
    </row>
    <row r="120" spans="1:62" ht="15" customHeight="1">
      <c r="A120" s="346"/>
      <c r="B120" s="2" t="s">
        <v>403</v>
      </c>
      <c r="C120" s="300">
        <f>Summary!L18</f>
        <v>-1000</v>
      </c>
      <c r="D120" s="356"/>
      <c r="E120" s="44" t="s">
        <v>79</v>
      </c>
      <c r="F120" s="47">
        <f>E136/IF(H120=0,1000000000000,H120)</f>
        <v>0</v>
      </c>
      <c r="G120" s="4" t="s">
        <v>111</v>
      </c>
      <c r="H120" s="28">
        <f>CS_4!B25</f>
        <v>2588000</v>
      </c>
      <c r="I120" s="4" t="s">
        <v>80</v>
      </c>
      <c r="J120" s="47">
        <f>A149*F163</f>
        <v>0</v>
      </c>
      <c r="K120" s="4" t="s">
        <v>80</v>
      </c>
      <c r="L120" s="131">
        <f t="array" ref="L120:L123">MMULT(MINVERSE(O132:R135),J120:J123)</f>
        <v>0</v>
      </c>
      <c r="O120" t="s">
        <v>83</v>
      </c>
      <c r="P120" s="7" t="s">
        <v>84</v>
      </c>
      <c r="Q120" s="25" t="s">
        <v>85</v>
      </c>
      <c r="R120" s="25" t="s">
        <v>86</v>
      </c>
      <c r="T120" t="s">
        <v>83</v>
      </c>
      <c r="U120" s="7" t="s">
        <v>84</v>
      </c>
      <c r="V120" s="25" t="s">
        <v>85</v>
      </c>
      <c r="W120" s="25" t="s">
        <v>86</v>
      </c>
      <c r="X120" s="6"/>
      <c r="Y120" t="s">
        <v>83</v>
      </c>
      <c r="Z120" s="7" t="s">
        <v>84</v>
      </c>
      <c r="AA120" s="25" t="s">
        <v>85</v>
      </c>
      <c r="AB120" s="25" t="s">
        <v>86</v>
      </c>
    </row>
    <row r="121" spans="1:62" ht="15" customHeight="1">
      <c r="A121" s="349" t="s">
        <v>427</v>
      </c>
      <c r="B121" s="2" t="s">
        <v>404</v>
      </c>
      <c r="C121" s="300">
        <f>Summary!M18</f>
        <v>200</v>
      </c>
      <c r="D121" s="356"/>
      <c r="E121" s="44" t="s">
        <v>106</v>
      </c>
      <c r="F121" s="47">
        <f t="shared" ref="F121:F122" si="27">E137/IF(H121=0,1000000000000,H121)</f>
        <v>0</v>
      </c>
      <c r="G121" s="4" t="s">
        <v>112</v>
      </c>
      <c r="H121" s="28">
        <f>CS_4!B26</f>
        <v>0</v>
      </c>
      <c r="I121" s="4" t="s">
        <v>81</v>
      </c>
      <c r="J121" s="47">
        <f>A149*F164</f>
        <v>0</v>
      </c>
      <c r="K121" s="4" t="s">
        <v>81</v>
      </c>
      <c r="L121" s="131">
        <v>0</v>
      </c>
      <c r="N121" s="44" t="s">
        <v>79</v>
      </c>
      <c r="O121" s="48">
        <f>H113</f>
        <v>0</v>
      </c>
      <c r="P121" s="48">
        <f>H116*O128</f>
        <v>0</v>
      </c>
      <c r="Q121" s="48">
        <f>H117*P128</f>
        <v>0</v>
      </c>
      <c r="R121" s="48">
        <f>H118*Q128</f>
        <v>0</v>
      </c>
      <c r="S121" s="44" t="s">
        <v>79</v>
      </c>
      <c r="T121" s="48">
        <f t="array" ref="T121:T124">MMULT(T132:W135,O121:O124)</f>
        <v>0</v>
      </c>
      <c r="U121" s="48">
        <f t="array" ref="U121:U124">MMULT(T132:W135,P121:P124)</f>
        <v>0</v>
      </c>
      <c r="V121" s="48">
        <f t="array" ref="V121:V124">MMULT(T132:W135,Q121:Q124)</f>
        <v>0</v>
      </c>
      <c r="W121" s="48">
        <f t="array" ref="W121:W124">MMULT(T132:W135,R121:R124)</f>
        <v>0</v>
      </c>
      <c r="X121" s="68" t="s">
        <v>79</v>
      </c>
      <c r="Y121" s="28">
        <f t="array" ref="Y121:Y124">MMULT(T132:W135,Y114:Y117)</f>
        <v>0</v>
      </c>
      <c r="Z121" s="28">
        <f t="array" ref="Z121:Z124">MMULT(T132:W135,Z114:Z117)</f>
        <v>0</v>
      </c>
      <c r="AA121" s="28">
        <f t="array" ref="AA121:AA124">MMULT(T132:W135,AA114:AA117)</f>
        <v>4.0876857011655715E-3</v>
      </c>
      <c r="AB121" s="28">
        <f t="array" ref="AB121:AB124">MMULT(T132:W135,AB114:AB117)</f>
        <v>0</v>
      </c>
    </row>
    <row r="122" spans="1:62" ht="15" customHeight="1">
      <c r="A122" s="350"/>
      <c r="B122" s="297" t="s">
        <v>391</v>
      </c>
      <c r="E122" s="44" t="s">
        <v>107</v>
      </c>
      <c r="F122" s="47">
        <f t="shared" si="27"/>
        <v>-7.0324574961360125E-4</v>
      </c>
      <c r="G122" s="4" t="s">
        <v>113</v>
      </c>
      <c r="H122" s="28">
        <f>CS_4!B27</f>
        <v>2588000</v>
      </c>
      <c r="I122" s="4" t="s">
        <v>82</v>
      </c>
      <c r="J122" s="47">
        <f>A149*F165</f>
        <v>0</v>
      </c>
      <c r="K122" s="4" t="s">
        <v>82</v>
      </c>
      <c r="L122" s="131">
        <v>0</v>
      </c>
      <c r="N122" s="44" t="s">
        <v>106</v>
      </c>
      <c r="O122" s="48">
        <f>H114</f>
        <v>0</v>
      </c>
      <c r="P122" s="48">
        <f>H116*O129</f>
        <v>0</v>
      </c>
      <c r="Q122" s="48">
        <f>H117*P129</f>
        <v>0</v>
      </c>
      <c r="R122" s="48">
        <f>H118*Q129</f>
        <v>0</v>
      </c>
      <c r="S122" s="44" t="s">
        <v>106</v>
      </c>
      <c r="T122" s="48">
        <v>0</v>
      </c>
      <c r="U122" s="48">
        <v>0</v>
      </c>
      <c r="V122" s="48">
        <v>0</v>
      </c>
      <c r="W122" s="48">
        <v>0</v>
      </c>
      <c r="X122" s="68" t="s">
        <v>106</v>
      </c>
      <c r="Y122" s="28">
        <v>0</v>
      </c>
      <c r="Z122" s="28">
        <v>-1.4543140261313002E-2</v>
      </c>
      <c r="AA122" s="28">
        <v>0</v>
      </c>
      <c r="AB122" s="28">
        <v>0</v>
      </c>
    </row>
    <row r="123" spans="1:62" ht="15" customHeight="1">
      <c r="A123" s="350"/>
      <c r="B123" s="12" t="s">
        <v>405</v>
      </c>
      <c r="C123" s="30">
        <f>AC132+C119</f>
        <v>0</v>
      </c>
      <c r="E123" s="4" t="s">
        <v>80</v>
      </c>
      <c r="F123" s="47">
        <f>E140/IF(H123=0,1000000000000,H123)+L120</f>
        <v>-7.2733884898627148E-5</v>
      </c>
      <c r="G123" s="44" t="s">
        <v>8</v>
      </c>
      <c r="H123" s="28">
        <f>CS_4!B29</f>
        <v>6874375000</v>
      </c>
      <c r="I123" s="4" t="s">
        <v>291</v>
      </c>
      <c r="J123" s="28">
        <v>1</v>
      </c>
      <c r="K123" s="4" t="s">
        <v>291</v>
      </c>
      <c r="L123" s="131">
        <v>1</v>
      </c>
      <c r="N123" s="44" t="s">
        <v>107</v>
      </c>
      <c r="O123" s="48">
        <f>H115</f>
        <v>0</v>
      </c>
      <c r="P123" s="48">
        <f>H116*O130</f>
        <v>0</v>
      </c>
      <c r="Q123" s="48">
        <f>H117*P130</f>
        <v>0</v>
      </c>
      <c r="R123" s="48">
        <f>H118*Q130</f>
        <v>0</v>
      </c>
      <c r="S123" s="44" t="s">
        <v>107</v>
      </c>
      <c r="T123" s="48">
        <v>0</v>
      </c>
      <c r="U123" s="48">
        <v>0</v>
      </c>
      <c r="V123" s="48">
        <v>0</v>
      </c>
      <c r="W123" s="48">
        <v>0</v>
      </c>
      <c r="X123" s="68" t="s">
        <v>107</v>
      </c>
      <c r="Y123" s="28">
        <v>-7.0324574961360125E-4</v>
      </c>
      <c r="Z123" s="28">
        <v>-7.2734612116242547E-2</v>
      </c>
      <c r="AA123" s="28">
        <v>-5.1101308939224431E-3</v>
      </c>
      <c r="AB123" s="28">
        <v>0</v>
      </c>
    </row>
    <row r="124" spans="1:62" ht="15" customHeight="1">
      <c r="A124" s="350"/>
      <c r="B124" s="12" t="s">
        <v>406</v>
      </c>
      <c r="C124" s="30">
        <f>AC133+C120</f>
        <v>0</v>
      </c>
      <c r="E124" s="4" t="s">
        <v>81</v>
      </c>
      <c r="F124" s="47">
        <f t="shared" ref="F124:F125" si="28">E141/IF(H124=0,1000000000000,H124)+L121</f>
        <v>-2.043970602151216E-5</v>
      </c>
      <c r="G124" s="44" t="s">
        <v>114</v>
      </c>
      <c r="H124" s="28">
        <f>CS_4!B30</f>
        <v>6604791666.666667</v>
      </c>
      <c r="N124" s="6" t="s">
        <v>102</v>
      </c>
      <c r="O124" s="28">
        <v>1</v>
      </c>
      <c r="P124" s="28">
        <v>1</v>
      </c>
      <c r="Q124" s="28">
        <v>1</v>
      </c>
      <c r="R124" s="28">
        <v>1</v>
      </c>
      <c r="S124" s="6" t="s">
        <v>102</v>
      </c>
      <c r="T124" s="28">
        <v>1</v>
      </c>
      <c r="U124" s="28">
        <v>1</v>
      </c>
      <c r="V124" s="28">
        <v>1</v>
      </c>
      <c r="W124" s="28">
        <v>1</v>
      </c>
      <c r="X124" s="6" t="s">
        <v>102</v>
      </c>
      <c r="Y124" s="28">
        <v>1</v>
      </c>
      <c r="Z124" s="28">
        <v>1</v>
      </c>
      <c r="AA124" s="28">
        <v>1</v>
      </c>
      <c r="AB124" s="28">
        <v>1</v>
      </c>
    </row>
    <row r="125" spans="1:62" ht="15" customHeight="1">
      <c r="A125" s="350"/>
      <c r="B125" s="12" t="s">
        <v>407</v>
      </c>
      <c r="C125" s="30">
        <f>AC134+C121</f>
        <v>0</v>
      </c>
      <c r="E125" s="4" t="s">
        <v>82</v>
      </c>
      <c r="F125" s="47">
        <f t="shared" si="28"/>
        <v>0</v>
      </c>
      <c r="G125" s="44" t="s">
        <v>110</v>
      </c>
      <c r="H125" s="28">
        <f>CS_4!B31</f>
        <v>6604791666.666667</v>
      </c>
      <c r="AB125" s="5"/>
      <c r="AU125" s="5" t="s">
        <v>67</v>
      </c>
      <c r="AZ125" s="5" t="s">
        <v>87</v>
      </c>
      <c r="BE125" s="5" t="s">
        <v>92</v>
      </c>
      <c r="BJ125" s="5" t="s">
        <v>92</v>
      </c>
    </row>
    <row r="126" spans="1:62" ht="34">
      <c r="A126" s="350"/>
      <c r="B126" s="67" t="s">
        <v>101</v>
      </c>
      <c r="E126" s="336" t="s">
        <v>280</v>
      </c>
      <c r="F126" s="352"/>
      <c r="G126" s="353" t="s">
        <v>279</v>
      </c>
      <c r="H126" s="354"/>
      <c r="I126" s="354"/>
      <c r="J126" s="354"/>
      <c r="K126" s="354"/>
      <c r="L126" s="355"/>
      <c r="M126" s="89" t="s">
        <v>281</v>
      </c>
      <c r="N126" s="82" t="s">
        <v>234</v>
      </c>
      <c r="AE126" s="43" t="s">
        <v>214</v>
      </c>
      <c r="AF126" s="295">
        <f>CS_4!B60</f>
        <v>9.9999999000000077E-5</v>
      </c>
      <c r="AG126" s="43"/>
      <c r="AH126" s="43"/>
      <c r="AI126" s="43"/>
      <c r="AJ126" s="43" t="s">
        <v>88</v>
      </c>
      <c r="AK126" s="296">
        <f>CS_4!B61</f>
        <v>1.0000000000000007E-4</v>
      </c>
      <c r="AL126" s="7"/>
      <c r="AM126" s="7"/>
      <c r="AN126" s="43"/>
      <c r="AO126" s="43" t="s">
        <v>213</v>
      </c>
      <c r="AP126" s="295">
        <f>CS_4!B62</f>
        <v>1.0000000000000007E-4</v>
      </c>
      <c r="AU126" s="7" t="s">
        <v>0</v>
      </c>
      <c r="AV126" s="7" t="s">
        <v>1</v>
      </c>
      <c r="AW126" s="7" t="s">
        <v>2</v>
      </c>
      <c r="AZ126" s="7" t="s">
        <v>0</v>
      </c>
      <c r="BA126" s="7" t="s">
        <v>1</v>
      </c>
      <c r="BB126" s="7" t="s">
        <v>2</v>
      </c>
      <c r="BE126" s="7" t="s">
        <v>0</v>
      </c>
      <c r="BF126" s="7" t="s">
        <v>1</v>
      </c>
      <c r="BG126" s="7" t="s">
        <v>2</v>
      </c>
    </row>
    <row r="127" spans="1:62" ht="15" customHeight="1">
      <c r="A127" s="350"/>
      <c r="B127" s="39" t="s">
        <v>95</v>
      </c>
      <c r="C127" s="41">
        <f t="array" ref="C127:C130">MMULT(O99:R102,E103:E106)</f>
        <v>0</v>
      </c>
      <c r="E127" s="44" t="s">
        <v>79</v>
      </c>
      <c r="F127" s="47">
        <f t="array" ref="F127:F132">MMULT(G127:L132,M127:M132)</f>
        <v>0</v>
      </c>
      <c r="G127" s="124">
        <f>CS_4!G5</f>
        <v>0</v>
      </c>
      <c r="H127" s="124">
        <f>CS_4!H5</f>
        <v>0</v>
      </c>
      <c r="I127" s="124">
        <f>CS_4!I5</f>
        <v>0</v>
      </c>
      <c r="J127" s="124">
        <f>CS_4!J5</f>
        <v>0</v>
      </c>
      <c r="K127" s="124">
        <f>CS_4!K5</f>
        <v>0</v>
      </c>
      <c r="L127" s="124">
        <f>CS_4!L5</f>
        <v>0</v>
      </c>
      <c r="M127" s="28">
        <f>C127</f>
        <v>0</v>
      </c>
      <c r="O127" s="7" t="s">
        <v>4</v>
      </c>
      <c r="P127" s="25" t="s">
        <v>5</v>
      </c>
      <c r="Q127" s="25" t="s">
        <v>6</v>
      </c>
      <c r="R127" s="25"/>
      <c r="S127" s="25"/>
      <c r="T127" s="25"/>
      <c r="U127" s="25"/>
      <c r="V127" s="25"/>
      <c r="W127" s="25"/>
      <c r="X127" s="25"/>
      <c r="Y127" s="25"/>
      <c r="Z127" s="25"/>
      <c r="AA127" s="25"/>
      <c r="AB127" t="s">
        <v>66</v>
      </c>
      <c r="AC127" s="28">
        <f>C112</f>
        <v>-250</v>
      </c>
      <c r="AD127" s="28"/>
      <c r="AE127" s="76">
        <v>1</v>
      </c>
      <c r="AF127" s="47">
        <v>0</v>
      </c>
      <c r="AG127" s="47">
        <v>0</v>
      </c>
      <c r="AH127" s="77">
        <v>0</v>
      </c>
      <c r="AI127" s="78"/>
      <c r="AJ127" s="47">
        <f>COS(AK126)</f>
        <v>0.99999999500000003</v>
      </c>
      <c r="AK127" s="47">
        <v>0</v>
      </c>
      <c r="AL127" s="47">
        <f>-AJ129</f>
        <v>9.9999999833333411E-5</v>
      </c>
      <c r="AM127" s="47">
        <v>0</v>
      </c>
      <c r="AN127" s="78"/>
      <c r="AO127" s="47">
        <f>COS(AP126)</f>
        <v>0.99999999500000003</v>
      </c>
      <c r="AP127" s="47">
        <f>-AO128</f>
        <v>-9.9999999833333411E-5</v>
      </c>
      <c r="AQ127" s="47">
        <v>0</v>
      </c>
      <c r="AR127" s="47">
        <v>0</v>
      </c>
      <c r="AS127" s="78"/>
      <c r="AT127" s="28" t="s">
        <v>63</v>
      </c>
      <c r="AU127" s="47">
        <f t="array" ref="AU127:AU130">MMULT(AE127:AH130,$AC127:$AC130)</f>
        <v>-250</v>
      </c>
      <c r="AV127" s="47">
        <f>AU127-$AC127</f>
        <v>0</v>
      </c>
      <c r="AW127" s="47">
        <f>AV127/AF126</f>
        <v>0</v>
      </c>
      <c r="AX127" s="78"/>
      <c r="AY127" s="28" t="s">
        <v>63</v>
      </c>
      <c r="AZ127" s="47">
        <f t="array" ref="AZ127:AZ130">MMULT(AJ127:AM130,$AC127:$AC130)</f>
        <v>-250.01999874996667</v>
      </c>
      <c r="BA127" s="47">
        <f>AZ127-$AC127</f>
        <v>-1.9998749966674723E-2</v>
      </c>
      <c r="BB127" s="47">
        <f>BA127/AK126</f>
        <v>-199.98749966674708</v>
      </c>
      <c r="BC127" s="78"/>
      <c r="BD127" s="28" t="s">
        <v>63</v>
      </c>
      <c r="BE127" s="47">
        <f t="array" ref="BE127:BE130">MMULT(AO127:AR130,$AC127:$AC130)</f>
        <v>-250.09999874983333</v>
      </c>
      <c r="BF127" s="47">
        <f>BE127-$AC127</f>
        <v>-9.9998749833332568E-2</v>
      </c>
      <c r="BG127" s="47">
        <f>BF127/AP126</f>
        <v>-999.98749833332499</v>
      </c>
    </row>
    <row r="128" spans="1:62" ht="17">
      <c r="A128" s="350"/>
      <c r="B128" s="39" t="s">
        <v>96</v>
      </c>
      <c r="C128" s="41">
        <v>0</v>
      </c>
      <c r="E128" s="44" t="s">
        <v>106</v>
      </c>
      <c r="F128" s="47">
        <v>0</v>
      </c>
      <c r="G128" s="124">
        <f>CS_4!G6</f>
        <v>0</v>
      </c>
      <c r="H128" s="124">
        <f>CS_4!H6</f>
        <v>0</v>
      </c>
      <c r="I128" s="124">
        <f>CS_4!I6</f>
        <v>0</v>
      </c>
      <c r="J128" s="124">
        <f>CS_4!J6</f>
        <v>0</v>
      </c>
      <c r="K128" s="124">
        <f>CS_4!K6</f>
        <v>0</v>
      </c>
      <c r="L128" s="124">
        <f>CS_4!L6</f>
        <v>0</v>
      </c>
      <c r="M128" s="28">
        <f t="shared" ref="M128:M129" si="29">C128</f>
        <v>0</v>
      </c>
      <c r="N128" s="44" t="s">
        <v>79</v>
      </c>
      <c r="O128" s="30">
        <f>AW127</f>
        <v>0</v>
      </c>
      <c r="P128" s="30">
        <f>BB127</f>
        <v>-199.98749966674708</v>
      </c>
      <c r="Q128" s="30">
        <f>BG127</f>
        <v>-999.98749833332499</v>
      </c>
      <c r="AB128" t="s">
        <v>71</v>
      </c>
      <c r="AC128" s="28">
        <f>C113</f>
        <v>1000</v>
      </c>
      <c r="AD128" s="28"/>
      <c r="AE128" s="76">
        <v>0</v>
      </c>
      <c r="AF128" s="47">
        <f>COS(AF126)</f>
        <v>0.99999999500000014</v>
      </c>
      <c r="AG128" s="47">
        <f>-SIN(AF126)</f>
        <v>-9.9999998833333415E-5</v>
      </c>
      <c r="AH128" s="77">
        <v>0</v>
      </c>
      <c r="AI128" s="78"/>
      <c r="AJ128" s="47">
        <v>0</v>
      </c>
      <c r="AK128" s="47">
        <v>1</v>
      </c>
      <c r="AL128" s="47">
        <v>0</v>
      </c>
      <c r="AM128" s="47">
        <v>0</v>
      </c>
      <c r="AN128" s="78"/>
      <c r="AO128" s="47">
        <f>SIN(AP126)</f>
        <v>9.9999999833333411E-5</v>
      </c>
      <c r="AP128" s="47">
        <f>AO127</f>
        <v>0.99999999500000003</v>
      </c>
      <c r="AQ128" s="47">
        <v>0</v>
      </c>
      <c r="AR128" s="47">
        <v>0</v>
      </c>
      <c r="AS128" s="78"/>
      <c r="AT128" s="28" t="s">
        <v>64</v>
      </c>
      <c r="AU128" s="47">
        <v>1000.0199949997668</v>
      </c>
      <c r="AV128" s="47">
        <f>AU128-$AC128</f>
        <v>1.999499976682273E-2</v>
      </c>
      <c r="AW128" s="47">
        <f>AV128/AF126</f>
        <v>199.94999966772713</v>
      </c>
      <c r="AX128" s="78"/>
      <c r="AY128" s="28" t="s">
        <v>64</v>
      </c>
      <c r="AZ128" s="47">
        <v>1000</v>
      </c>
      <c r="BA128" s="47">
        <f>AZ128-$AC128</f>
        <v>0</v>
      </c>
      <c r="BB128" s="47">
        <f>BA128/AK126</f>
        <v>0</v>
      </c>
      <c r="BC128" s="78"/>
      <c r="BD128" s="28" t="s">
        <v>64</v>
      </c>
      <c r="BE128" s="47">
        <v>999.97499500004164</v>
      </c>
      <c r="BF128" s="47">
        <f>BE128-$AC128</f>
        <v>-2.5004999958355256E-2</v>
      </c>
      <c r="BG128" s="47">
        <f>BF128/AP126</f>
        <v>-250.04999958355239</v>
      </c>
    </row>
    <row r="129" spans="1:59" ht="17">
      <c r="A129" s="350"/>
      <c r="B129" s="39" t="s">
        <v>97</v>
      </c>
      <c r="C129" s="41">
        <v>-820</v>
      </c>
      <c r="E129" s="44" t="s">
        <v>107</v>
      </c>
      <c r="F129" s="47">
        <v>0</v>
      </c>
      <c r="G129" s="124">
        <f>CS_4!G7</f>
        <v>0</v>
      </c>
      <c r="H129" s="124">
        <f>CS_4!H7</f>
        <v>0</v>
      </c>
      <c r="I129" s="124">
        <f>CS_4!I7</f>
        <v>0</v>
      </c>
      <c r="J129" s="124">
        <f>CS_4!J7</f>
        <v>0</v>
      </c>
      <c r="K129" s="124">
        <f>CS_4!K7</f>
        <v>0</v>
      </c>
      <c r="L129" s="124">
        <f>CS_4!L7</f>
        <v>0</v>
      </c>
      <c r="M129" s="28">
        <f t="shared" si="29"/>
        <v>-820</v>
      </c>
      <c r="N129" s="44" t="s">
        <v>106</v>
      </c>
      <c r="O129" s="30">
        <f t="shared" ref="O129:O130" si="30">AW128</f>
        <v>199.94999966772713</v>
      </c>
      <c r="P129" s="30">
        <f t="shared" ref="P129:P130" si="31">BB128</f>
        <v>0</v>
      </c>
      <c r="Q129" s="30">
        <f t="shared" ref="Q129:Q130" si="32">BG128</f>
        <v>-250.04999958355239</v>
      </c>
      <c r="AB129" t="s">
        <v>72</v>
      </c>
      <c r="AC129" s="28">
        <f>C114</f>
        <v>-200</v>
      </c>
      <c r="AD129" s="28"/>
      <c r="AE129" s="76">
        <v>0</v>
      </c>
      <c r="AF129" s="47">
        <f>-AG128</f>
        <v>9.9999998833333415E-5</v>
      </c>
      <c r="AG129" s="47">
        <f>AF128</f>
        <v>0.99999999500000014</v>
      </c>
      <c r="AH129" s="77">
        <v>0</v>
      </c>
      <c r="AI129" s="78"/>
      <c r="AJ129" s="47">
        <f>-SIN(AK126)</f>
        <v>-9.9999999833333411E-5</v>
      </c>
      <c r="AK129" s="47">
        <v>0</v>
      </c>
      <c r="AL129" s="47">
        <f>COS(AK126)</f>
        <v>0.99999999500000003</v>
      </c>
      <c r="AM129" s="47">
        <v>0</v>
      </c>
      <c r="AN129" s="78"/>
      <c r="AO129" s="47">
        <v>0</v>
      </c>
      <c r="AP129" s="47">
        <v>0</v>
      </c>
      <c r="AQ129" s="47">
        <v>1</v>
      </c>
      <c r="AR129" s="47">
        <v>0</v>
      </c>
      <c r="AS129" s="78"/>
      <c r="AT129" s="28" t="s">
        <v>65</v>
      </c>
      <c r="AU129" s="47">
        <v>-199.89999900116669</v>
      </c>
      <c r="AV129" s="47">
        <f>AU129-$AC129</f>
        <v>0.10000099883330904</v>
      </c>
      <c r="AW129" s="47">
        <f>AV129/AF126</f>
        <v>1000.0099983331896</v>
      </c>
      <c r="AX129" s="78"/>
      <c r="AY129" s="28" t="s">
        <v>65</v>
      </c>
      <c r="AZ129" s="47">
        <v>-199.97499900004166</v>
      </c>
      <c r="BA129" s="47">
        <f>AZ129-$AC129</f>
        <v>2.5000999958336934E-2</v>
      </c>
      <c r="BB129" s="47">
        <f>BA129/AK126</f>
        <v>250.00999958336917</v>
      </c>
      <c r="BC129" s="78"/>
      <c r="BD129" s="28" t="s">
        <v>65</v>
      </c>
      <c r="BE129" s="47">
        <v>-200</v>
      </c>
      <c r="BF129" s="47">
        <f>BE129-$AC129</f>
        <v>0</v>
      </c>
      <c r="BG129" s="47">
        <f>BF129/AP126</f>
        <v>0</v>
      </c>
    </row>
    <row r="130" spans="1:59" ht="15" customHeight="1">
      <c r="A130" s="350"/>
      <c r="B130" s="39" t="s">
        <v>102</v>
      </c>
      <c r="C130" s="41">
        <v>1</v>
      </c>
      <c r="E130" s="4" t="s">
        <v>80</v>
      </c>
      <c r="F130" s="47">
        <v>0</v>
      </c>
      <c r="G130" s="124">
        <f>CS_4!G8</f>
        <v>0</v>
      </c>
      <c r="H130" s="124">
        <f>CS_4!H8</f>
        <v>0</v>
      </c>
      <c r="I130" s="124">
        <f>CS_4!I8</f>
        <v>0</v>
      </c>
      <c r="J130" s="124">
        <f>CS_4!J8</f>
        <v>0</v>
      </c>
      <c r="K130" s="124">
        <f>CS_4!K8</f>
        <v>0</v>
      </c>
      <c r="L130" s="124">
        <f>CS_4!L8</f>
        <v>0</v>
      </c>
      <c r="M130" s="28">
        <f>C131</f>
        <v>-336000</v>
      </c>
      <c r="N130" s="44" t="s">
        <v>107</v>
      </c>
      <c r="O130" s="30">
        <f t="shared" si="30"/>
        <v>1000.0099983331896</v>
      </c>
      <c r="P130" s="30">
        <f t="shared" si="31"/>
        <v>250.00999958336917</v>
      </c>
      <c r="Q130" s="30">
        <f t="shared" si="32"/>
        <v>0</v>
      </c>
      <c r="AC130" s="28">
        <v>1</v>
      </c>
      <c r="AD130" s="28"/>
      <c r="AE130" s="76">
        <v>0</v>
      </c>
      <c r="AF130" s="47">
        <v>0</v>
      </c>
      <c r="AG130" s="47">
        <v>0</v>
      </c>
      <c r="AH130" s="77">
        <v>1</v>
      </c>
      <c r="AI130" s="78"/>
      <c r="AJ130" s="47">
        <v>0</v>
      </c>
      <c r="AK130" s="47">
        <v>0</v>
      </c>
      <c r="AL130" s="47">
        <v>0</v>
      </c>
      <c r="AM130" s="47">
        <v>1</v>
      </c>
      <c r="AN130" s="78"/>
      <c r="AO130" s="47">
        <v>0</v>
      </c>
      <c r="AP130" s="47">
        <v>0</v>
      </c>
      <c r="AQ130" s="47">
        <v>0</v>
      </c>
      <c r="AR130" s="47">
        <v>1</v>
      </c>
      <c r="AS130" s="78"/>
      <c r="AT130" s="28"/>
      <c r="AU130" s="47">
        <v>1</v>
      </c>
      <c r="AV130" s="47"/>
      <c r="AW130" s="47"/>
      <c r="AX130" s="78"/>
      <c r="AY130" s="28"/>
      <c r="AZ130" s="47">
        <v>1</v>
      </c>
      <c r="BA130" s="47"/>
      <c r="BB130" s="47"/>
      <c r="BC130" s="78"/>
      <c r="BD130" s="28"/>
      <c r="BE130" s="47">
        <v>1</v>
      </c>
      <c r="BF130" s="47"/>
      <c r="BG130" s="47"/>
    </row>
    <row r="131" spans="1:59" ht="15" customHeight="1">
      <c r="A131" s="350"/>
      <c r="B131" s="39" t="s">
        <v>98</v>
      </c>
      <c r="C131" s="41">
        <f t="array" ref="C131:C134">MMULT(O99:R102,E107:E110)</f>
        <v>-336000</v>
      </c>
      <c r="E131" s="4" t="s">
        <v>81</v>
      </c>
      <c r="F131" s="47">
        <v>0</v>
      </c>
      <c r="G131" s="124">
        <f>CS_4!G9</f>
        <v>0</v>
      </c>
      <c r="H131" s="124">
        <f>CS_4!H9</f>
        <v>0</v>
      </c>
      <c r="I131" s="124">
        <f>CS_4!I9</f>
        <v>0</v>
      </c>
      <c r="J131" s="124">
        <f>CS_4!J9</f>
        <v>0</v>
      </c>
      <c r="K131" s="124">
        <f>CS_4!K9</f>
        <v>0</v>
      </c>
      <c r="L131" s="124">
        <f>CS_4!L9</f>
        <v>0</v>
      </c>
      <c r="M131" s="28">
        <f>C132</f>
        <v>-12000</v>
      </c>
      <c r="O131" s="3" t="s">
        <v>77</v>
      </c>
      <c r="T131" s="3" t="s">
        <v>78</v>
      </c>
      <c r="AE131" t="s">
        <v>90</v>
      </c>
      <c r="AJ131" t="s">
        <v>89</v>
      </c>
      <c r="AO131" t="s">
        <v>91</v>
      </c>
    </row>
    <row r="132" spans="1:59" ht="15" customHeight="1">
      <c r="A132" s="350"/>
      <c r="B132" s="39" t="s">
        <v>99</v>
      </c>
      <c r="C132" s="41">
        <v>-12000</v>
      </c>
      <c r="E132" s="4" t="s">
        <v>82</v>
      </c>
      <c r="F132" s="47">
        <v>0</v>
      </c>
      <c r="G132" s="124">
        <f>CS_4!G10</f>
        <v>0</v>
      </c>
      <c r="H132" s="124">
        <f>CS_4!H10</f>
        <v>0</v>
      </c>
      <c r="I132" s="124">
        <f>CS_4!I10</f>
        <v>0</v>
      </c>
      <c r="J132" s="124">
        <f>CS_4!J10</f>
        <v>0</v>
      </c>
      <c r="K132" s="124">
        <f>CS_4!K10</f>
        <v>0</v>
      </c>
      <c r="L132" s="124">
        <f>CS_4!L10</f>
        <v>0</v>
      </c>
      <c r="M132" s="28">
        <f>C133</f>
        <v>0</v>
      </c>
      <c r="O132" s="30">
        <f t="array" ref="O132:R135">MMULT(AO132:AR135,MMULT(AJ132:AM135,AE132:AH135))</f>
        <v>1</v>
      </c>
      <c r="P132" s="30">
        <v>0</v>
      </c>
      <c r="Q132" s="30">
        <v>0</v>
      </c>
      <c r="R132" s="30">
        <v>0</v>
      </c>
      <c r="S132" s="11"/>
      <c r="T132" s="30">
        <f t="array" ref="T132:W135">IF(A153=1,MMULT(T165:W168,O132:R135),T$363:W$366)</f>
        <v>1</v>
      </c>
      <c r="U132" s="30">
        <v>0</v>
      </c>
      <c r="V132" s="30">
        <v>0</v>
      </c>
      <c r="W132" s="30">
        <v>0</v>
      </c>
      <c r="X132" s="30"/>
      <c r="Y132" s="30"/>
      <c r="Z132" s="30"/>
      <c r="AA132" s="30"/>
      <c r="AB132" t="s">
        <v>68</v>
      </c>
      <c r="AC132" s="28">
        <f t="array" ref="AC132:AC135">MMULT(O132:R135,AC127:AC130)</f>
        <v>-250</v>
      </c>
      <c r="AD132" s="28"/>
      <c r="AE132" s="27">
        <v>1</v>
      </c>
      <c r="AF132" s="28">
        <v>0</v>
      </c>
      <c r="AG132" s="28">
        <v>0</v>
      </c>
      <c r="AH132" s="29">
        <v>0</v>
      </c>
      <c r="AJ132" s="27">
        <f>COS(PI()*C117/180)</f>
        <v>1</v>
      </c>
      <c r="AK132" s="28">
        <v>0</v>
      </c>
      <c r="AL132" s="28">
        <f>SIN(PI()*C117/180)</f>
        <v>0</v>
      </c>
      <c r="AM132" s="29">
        <v>0</v>
      </c>
      <c r="AO132" s="27">
        <f>COS(PI()*C118/180)</f>
        <v>1</v>
      </c>
      <c r="AP132" s="28">
        <f>-SIN(PI()*C118/180)</f>
        <v>0</v>
      </c>
      <c r="AQ132" s="28">
        <v>0</v>
      </c>
      <c r="AR132" s="29">
        <v>0</v>
      </c>
    </row>
    <row r="133" spans="1:59" ht="15" customHeight="1">
      <c r="A133" s="350"/>
      <c r="B133" s="39" t="s">
        <v>100</v>
      </c>
      <c r="C133" s="41">
        <v>0</v>
      </c>
      <c r="G133" s="105"/>
      <c r="H133" s="105"/>
      <c r="I133" s="105"/>
      <c r="J133" s="117"/>
      <c r="K133" s="117"/>
      <c r="L133" s="117"/>
      <c r="M133" s="117"/>
      <c r="O133" s="30">
        <v>0</v>
      </c>
      <c r="P133" s="30">
        <v>1</v>
      </c>
      <c r="Q133" s="30">
        <v>0</v>
      </c>
      <c r="R133" s="30">
        <v>0</v>
      </c>
      <c r="S133" s="11"/>
      <c r="T133" s="30">
        <v>0</v>
      </c>
      <c r="U133" s="30">
        <v>1</v>
      </c>
      <c r="V133" s="30">
        <v>0</v>
      </c>
      <c r="W133" s="30">
        <v>0</v>
      </c>
      <c r="X133" s="30"/>
      <c r="Y133" s="30"/>
      <c r="Z133" s="30"/>
      <c r="AA133" s="30"/>
      <c r="AB133" t="s">
        <v>69</v>
      </c>
      <c r="AC133" s="28">
        <v>1000</v>
      </c>
      <c r="AD133" s="28"/>
      <c r="AE133" s="27">
        <v>0</v>
      </c>
      <c r="AF133" s="28">
        <f>COS(PI()*C116/180)</f>
        <v>1</v>
      </c>
      <c r="AG133" s="28">
        <f>-SIN(PI()*C116/180)</f>
        <v>0</v>
      </c>
      <c r="AH133" s="29">
        <v>0</v>
      </c>
      <c r="AJ133" s="27">
        <v>0</v>
      </c>
      <c r="AK133" s="28">
        <v>1</v>
      </c>
      <c r="AL133" s="28">
        <v>0</v>
      </c>
      <c r="AM133" s="29">
        <v>0</v>
      </c>
      <c r="AO133" s="27">
        <f>SIN(PI()*C118/180)</f>
        <v>0</v>
      </c>
      <c r="AP133" s="28">
        <f>AO132</f>
        <v>1</v>
      </c>
      <c r="AQ133" s="28">
        <v>0</v>
      </c>
      <c r="AR133" s="29">
        <v>0</v>
      </c>
    </row>
    <row r="134" spans="1:59" ht="15" customHeight="1">
      <c r="A134" s="350"/>
      <c r="B134" s="39" t="s">
        <v>102</v>
      </c>
      <c r="C134" s="41">
        <v>1</v>
      </c>
      <c r="G134" s="105"/>
      <c r="H134" s="105"/>
      <c r="I134" s="105"/>
      <c r="J134" s="117"/>
      <c r="K134" s="117"/>
      <c r="L134" s="117"/>
      <c r="M134" s="117"/>
      <c r="O134" s="30">
        <v>0</v>
      </c>
      <c r="P134" s="30">
        <v>0</v>
      </c>
      <c r="Q134" s="30">
        <v>1</v>
      </c>
      <c r="R134" s="30">
        <v>0</v>
      </c>
      <c r="S134" s="11"/>
      <c r="T134" s="30">
        <v>0</v>
      </c>
      <c r="U134" s="30">
        <v>0</v>
      </c>
      <c r="V134" s="30">
        <v>1</v>
      </c>
      <c r="W134" s="30">
        <v>0</v>
      </c>
      <c r="X134" s="30"/>
      <c r="Y134" s="30"/>
      <c r="Z134" s="30"/>
      <c r="AA134" s="30"/>
      <c r="AB134" t="s">
        <v>70</v>
      </c>
      <c r="AC134" s="28">
        <v>-200</v>
      </c>
      <c r="AD134" s="28"/>
      <c r="AE134" s="27">
        <v>0</v>
      </c>
      <c r="AF134" s="28">
        <f>SIN(PI()*C116/180)</f>
        <v>0</v>
      </c>
      <c r="AG134" s="28">
        <f>AF133</f>
        <v>1</v>
      </c>
      <c r="AH134" s="29">
        <v>0</v>
      </c>
      <c r="AJ134" s="27">
        <f>-SIN(PI()*C117/180)</f>
        <v>0</v>
      </c>
      <c r="AK134" s="28">
        <v>0</v>
      </c>
      <c r="AL134" s="28">
        <f>AJ132</f>
        <v>1</v>
      </c>
      <c r="AM134" s="29">
        <v>0</v>
      </c>
      <c r="AO134" s="27">
        <v>0</v>
      </c>
      <c r="AP134" s="28">
        <v>0</v>
      </c>
      <c r="AQ134" s="28">
        <v>1</v>
      </c>
      <c r="AR134" s="29">
        <v>0</v>
      </c>
    </row>
    <row r="135" spans="1:59" s="114" customFormat="1">
      <c r="A135" s="350"/>
      <c r="B135" s="75" t="s">
        <v>173</v>
      </c>
      <c r="C135"/>
      <c r="D135" s="87" t="s">
        <v>232</v>
      </c>
      <c r="E135"/>
      <c r="G135" s="119"/>
      <c r="H135" s="119"/>
      <c r="I135" s="119"/>
      <c r="J135" s="126"/>
      <c r="K135" s="126"/>
      <c r="L135" s="126"/>
      <c r="M135" s="126"/>
      <c r="O135" s="115">
        <v>0</v>
      </c>
      <c r="P135" s="115">
        <v>0</v>
      </c>
      <c r="Q135" s="115">
        <v>0</v>
      </c>
      <c r="R135" s="115">
        <v>1</v>
      </c>
      <c r="S135" s="116"/>
      <c r="T135" s="115">
        <v>0</v>
      </c>
      <c r="U135" s="115">
        <v>0</v>
      </c>
      <c r="V135" s="115">
        <v>0</v>
      </c>
      <c r="W135" s="115">
        <v>1</v>
      </c>
      <c r="X135" s="115"/>
      <c r="Y135" s="115"/>
      <c r="Z135" s="115"/>
      <c r="AA135" s="115"/>
      <c r="AC135" s="31">
        <v>1</v>
      </c>
      <c r="AD135" s="31"/>
      <c r="AE135" s="31">
        <v>0</v>
      </c>
      <c r="AF135" s="31">
        <v>0</v>
      </c>
      <c r="AG135" s="31">
        <v>0</v>
      </c>
      <c r="AH135" s="31">
        <v>1</v>
      </c>
      <c r="AJ135" s="31">
        <v>0</v>
      </c>
      <c r="AK135" s="31">
        <v>0</v>
      </c>
      <c r="AL135" s="31">
        <v>0</v>
      </c>
      <c r="AM135" s="31">
        <v>1</v>
      </c>
      <c r="AO135" s="31">
        <v>0</v>
      </c>
      <c r="AP135" s="31">
        <v>0</v>
      </c>
      <c r="AQ135" s="31">
        <v>0</v>
      </c>
      <c r="AR135" s="31">
        <v>1</v>
      </c>
    </row>
    <row r="136" spans="1:59" s="114" customFormat="1" ht="17">
      <c r="A136" s="350"/>
      <c r="B136" s="39" t="s">
        <v>95</v>
      </c>
      <c r="C136" s="40">
        <v>0</v>
      </c>
      <c r="D136" s="39" t="s">
        <v>95</v>
      </c>
      <c r="E136" s="41">
        <f>C127+C136</f>
        <v>0</v>
      </c>
      <c r="F136" s="122"/>
      <c r="G136" s="126"/>
      <c r="H136" s="129"/>
      <c r="I136" s="126"/>
      <c r="J136" s="126"/>
      <c r="K136" s="126"/>
      <c r="L136" s="126"/>
      <c r="M136" s="126"/>
      <c r="O136" s="115"/>
      <c r="P136" s="115"/>
      <c r="Q136" s="115"/>
      <c r="R136" s="115"/>
      <c r="S136" s="116"/>
      <c r="T136" s="115"/>
      <c r="U136" s="115"/>
      <c r="V136" s="115"/>
      <c r="W136" s="115"/>
      <c r="X136" s="115"/>
      <c r="Y136" s="115"/>
      <c r="Z136" s="115"/>
      <c r="AA136" s="115"/>
      <c r="AC136" s="31"/>
      <c r="AD136" s="31"/>
      <c r="AE136" s="31"/>
      <c r="AF136" s="31"/>
      <c r="AG136" s="31"/>
      <c r="AH136" s="31"/>
      <c r="AJ136" s="31"/>
      <c r="AK136" s="31"/>
      <c r="AL136" s="31"/>
      <c r="AM136" s="31"/>
      <c r="AO136" s="31"/>
      <c r="AP136" s="31"/>
      <c r="AQ136" s="31"/>
      <c r="AR136" s="31"/>
    </row>
    <row r="137" spans="1:59" s="114" customFormat="1" ht="17">
      <c r="A137" s="350"/>
      <c r="B137" s="39" t="s">
        <v>96</v>
      </c>
      <c r="C137" s="40">
        <v>0</v>
      </c>
      <c r="D137" s="39" t="s">
        <v>96</v>
      </c>
      <c r="E137" s="41">
        <f>C128+C137</f>
        <v>0</v>
      </c>
      <c r="F137" s="122"/>
      <c r="G137" s="126"/>
      <c r="H137" s="129"/>
      <c r="I137" s="126"/>
      <c r="J137" s="126"/>
      <c r="K137" s="126"/>
      <c r="L137" s="126"/>
      <c r="M137" s="126"/>
      <c r="O137" s="115"/>
      <c r="P137" s="115"/>
      <c r="Q137" s="115"/>
      <c r="R137" s="115"/>
      <c r="S137" s="116"/>
      <c r="T137" s="115"/>
      <c r="U137" s="115"/>
      <c r="V137" s="115"/>
      <c r="W137" s="115"/>
      <c r="X137" s="115"/>
      <c r="Y137" s="115"/>
      <c r="Z137" s="115"/>
      <c r="AA137" s="115"/>
      <c r="AC137" s="31"/>
      <c r="AD137" s="31"/>
      <c r="AE137" s="31"/>
      <c r="AF137" s="31"/>
      <c r="AG137" s="31"/>
      <c r="AH137" s="31"/>
      <c r="AJ137" s="31"/>
      <c r="AK137" s="31"/>
      <c r="AL137" s="31"/>
      <c r="AM137" s="31"/>
      <c r="AO137" s="31"/>
      <c r="AP137" s="31"/>
      <c r="AQ137" s="31"/>
      <c r="AR137" s="31"/>
    </row>
    <row r="138" spans="1:59" s="114" customFormat="1" ht="17">
      <c r="A138" s="350"/>
      <c r="B138" s="39" t="s">
        <v>97</v>
      </c>
      <c r="C138" s="40">
        <v>-1000</v>
      </c>
      <c r="D138" s="39" t="s">
        <v>97</v>
      </c>
      <c r="E138" s="41">
        <f>C129+C138</f>
        <v>-1820</v>
      </c>
      <c r="F138" s="122"/>
      <c r="G138" s="126"/>
      <c r="H138" s="129"/>
      <c r="I138" s="126"/>
      <c r="J138" s="126"/>
      <c r="K138" s="126"/>
      <c r="L138" s="126"/>
      <c r="M138" s="126"/>
      <c r="O138" s="115"/>
      <c r="P138" s="115"/>
      <c r="Q138" s="115"/>
      <c r="R138" s="115"/>
      <c r="S138" s="116"/>
      <c r="T138" s="115"/>
      <c r="U138" s="115"/>
      <c r="V138" s="115"/>
      <c r="W138" s="115"/>
      <c r="X138" s="115"/>
      <c r="Y138" s="115"/>
      <c r="Z138" s="115"/>
      <c r="AA138" s="115"/>
      <c r="AC138" s="31"/>
      <c r="AD138" s="31"/>
      <c r="AE138" s="31"/>
      <c r="AF138" s="31"/>
      <c r="AG138" s="31"/>
      <c r="AH138" s="31"/>
      <c r="AJ138" s="31"/>
      <c r="AK138" s="31"/>
      <c r="AL138" s="31"/>
      <c r="AM138" s="31"/>
      <c r="AO138" s="31"/>
      <c r="AP138" s="31"/>
      <c r="AQ138" s="31"/>
      <c r="AR138" s="31"/>
    </row>
    <row r="139" spans="1:59" s="114" customFormat="1" ht="17">
      <c r="A139" s="350"/>
      <c r="B139" s="122" t="s">
        <v>102</v>
      </c>
      <c r="C139" s="123">
        <v>1</v>
      </c>
      <c r="D139" s="122" t="s">
        <v>102</v>
      </c>
      <c r="E139" s="123">
        <v>1</v>
      </c>
      <c r="F139" s="122"/>
      <c r="G139" s="126"/>
      <c r="H139" s="129"/>
      <c r="I139" s="126"/>
      <c r="J139" s="126"/>
      <c r="K139" s="126"/>
      <c r="L139" s="126"/>
      <c r="M139" s="126"/>
      <c r="O139" s="115"/>
      <c r="P139" s="115"/>
      <c r="Q139" s="115"/>
      <c r="R139" s="115"/>
      <c r="S139" s="116"/>
      <c r="T139" s="115"/>
      <c r="U139" s="115"/>
      <c r="V139" s="115"/>
      <c r="W139" s="115"/>
      <c r="X139" s="115"/>
      <c r="Y139" s="115"/>
      <c r="Z139" s="115"/>
      <c r="AA139" s="115"/>
      <c r="AC139" s="31"/>
      <c r="AD139" s="31"/>
      <c r="AE139" s="31"/>
      <c r="AF139" s="31"/>
      <c r="AG139" s="31"/>
      <c r="AH139" s="31"/>
      <c r="AJ139" s="31"/>
      <c r="AK139" s="31"/>
      <c r="AL139" s="31"/>
      <c r="AM139" s="31"/>
      <c r="AO139" s="31"/>
      <c r="AP139" s="31"/>
      <c r="AQ139" s="31"/>
      <c r="AR139" s="31"/>
    </row>
    <row r="140" spans="1:59" s="114" customFormat="1" ht="17">
      <c r="A140" s="350"/>
      <c r="B140" s="39" t="s">
        <v>98</v>
      </c>
      <c r="C140" s="40">
        <v>0</v>
      </c>
      <c r="D140" s="39" t="s">
        <v>98</v>
      </c>
      <c r="E140" s="41">
        <f>C131+C140+C129*C87-C128*C88</f>
        <v>-500000</v>
      </c>
      <c r="F140" s="122"/>
      <c r="G140" s="126"/>
      <c r="H140" s="129"/>
      <c r="I140" s="126"/>
      <c r="J140" s="126"/>
      <c r="K140" s="126"/>
      <c r="L140" s="126"/>
      <c r="M140" s="126"/>
      <c r="O140" s="115"/>
      <c r="P140" s="115"/>
      <c r="Q140" s="115"/>
      <c r="R140" s="115"/>
      <c r="S140" s="116"/>
      <c r="T140" s="115"/>
      <c r="U140" s="115"/>
      <c r="V140" s="115"/>
      <c r="W140" s="115"/>
      <c r="X140" s="115"/>
      <c r="Y140" s="115"/>
      <c r="Z140" s="115"/>
      <c r="AA140" s="115"/>
      <c r="AC140" s="31"/>
      <c r="AD140" s="31"/>
      <c r="AE140" s="31"/>
      <c r="AF140" s="31"/>
      <c r="AG140" s="31"/>
      <c r="AH140" s="31"/>
      <c r="AJ140" s="31"/>
      <c r="AK140" s="31"/>
      <c r="AL140" s="31"/>
      <c r="AM140" s="31"/>
      <c r="AO140" s="31"/>
      <c r="AP140" s="31"/>
      <c r="AQ140" s="31"/>
      <c r="AR140" s="31"/>
    </row>
    <row r="141" spans="1:59" s="114" customFormat="1" ht="17">
      <c r="A141" s="350"/>
      <c r="B141" s="39" t="s">
        <v>99</v>
      </c>
      <c r="C141" s="40">
        <v>0</v>
      </c>
      <c r="D141" s="39" t="s">
        <v>99</v>
      </c>
      <c r="E141" s="41">
        <f>C132+C141+C127*C88-C129*C86</f>
        <v>-135000</v>
      </c>
      <c r="F141" s="122"/>
      <c r="G141" s="126"/>
      <c r="H141" s="129"/>
      <c r="I141" s="126"/>
      <c r="J141" s="126"/>
      <c r="K141" s="126"/>
      <c r="L141" s="126"/>
      <c r="M141" s="126"/>
      <c r="O141" s="115"/>
      <c r="P141" s="115"/>
      <c r="Q141" s="115"/>
      <c r="R141" s="115"/>
      <c r="S141" s="116"/>
      <c r="T141" s="115"/>
      <c r="U141" s="115"/>
      <c r="V141" s="115"/>
      <c r="W141" s="115"/>
      <c r="X141" s="115"/>
      <c r="Y141" s="115"/>
      <c r="Z141" s="115"/>
      <c r="AA141" s="115"/>
      <c r="AC141" s="31"/>
      <c r="AD141" s="31"/>
      <c r="AE141" s="31"/>
      <c r="AF141" s="31"/>
      <c r="AG141" s="31"/>
      <c r="AH141" s="31"/>
      <c r="AJ141" s="31"/>
      <c r="AK141" s="31"/>
      <c r="AL141" s="31"/>
      <c r="AM141" s="31"/>
      <c r="AO141" s="31"/>
      <c r="AP141" s="31"/>
      <c r="AQ141" s="31"/>
      <c r="AR141" s="31"/>
    </row>
    <row r="142" spans="1:59" s="114" customFormat="1" ht="17">
      <c r="A142" s="350"/>
      <c r="B142" s="39" t="s">
        <v>100</v>
      </c>
      <c r="C142" s="40">
        <v>0</v>
      </c>
      <c r="D142" s="39" t="s">
        <v>100</v>
      </c>
      <c r="E142" s="41">
        <f>C133+C142+C128*C86-C127*C87</f>
        <v>0</v>
      </c>
      <c r="F142" s="122"/>
      <c r="G142" s="126"/>
      <c r="H142" s="129"/>
      <c r="I142" s="126"/>
      <c r="J142" s="126"/>
      <c r="K142" s="126"/>
      <c r="L142" s="126"/>
      <c r="M142" s="126"/>
      <c r="O142" s="115"/>
      <c r="P142" s="115"/>
      <c r="Q142" s="115"/>
      <c r="R142" s="115"/>
      <c r="S142" s="116"/>
      <c r="T142" s="115"/>
      <c r="U142" s="115"/>
      <c r="V142" s="115"/>
      <c r="W142" s="115"/>
      <c r="X142" s="115"/>
      <c r="Y142" s="115"/>
      <c r="Z142" s="115"/>
      <c r="AA142" s="115"/>
      <c r="AC142" s="31"/>
      <c r="AD142" s="31"/>
      <c r="AE142" s="31"/>
      <c r="AF142" s="31"/>
      <c r="AG142" s="31"/>
      <c r="AH142" s="31"/>
      <c r="AJ142" s="31"/>
      <c r="AK142" s="31"/>
      <c r="AL142" s="31"/>
      <c r="AM142" s="31"/>
      <c r="AO142" s="31"/>
      <c r="AP142" s="31"/>
      <c r="AQ142" s="31"/>
      <c r="AR142" s="31"/>
    </row>
    <row r="143" spans="1:59" s="50" customFormat="1" ht="18" thickBot="1">
      <c r="A143" s="351"/>
      <c r="B143" s="55" t="s">
        <v>102</v>
      </c>
      <c r="C143" s="56">
        <v>1</v>
      </c>
      <c r="D143" s="55" t="s">
        <v>102</v>
      </c>
      <c r="E143" s="56">
        <v>1</v>
      </c>
      <c r="F143" s="55"/>
      <c r="G143" s="127"/>
      <c r="H143" s="130"/>
      <c r="I143" s="127"/>
      <c r="J143" s="127"/>
      <c r="K143" s="127"/>
      <c r="L143" s="127"/>
      <c r="M143" s="127"/>
      <c r="O143" s="51"/>
      <c r="P143" s="51"/>
      <c r="Q143" s="51"/>
      <c r="R143" s="51"/>
      <c r="S143" s="52"/>
      <c r="T143" s="51"/>
      <c r="U143" s="51"/>
      <c r="V143" s="51"/>
      <c r="W143" s="51"/>
      <c r="X143" s="51"/>
      <c r="Y143" s="51"/>
      <c r="Z143" s="51"/>
      <c r="AA143" s="51"/>
      <c r="AC143" s="53"/>
      <c r="AD143" s="53"/>
      <c r="AE143" s="53"/>
      <c r="AF143" s="53"/>
      <c r="AG143" s="53"/>
      <c r="AH143" s="53"/>
      <c r="AJ143" s="53"/>
      <c r="AK143" s="53"/>
      <c r="AL143" s="53"/>
      <c r="AM143" s="53"/>
      <c r="AO143" s="53"/>
      <c r="AP143" s="53"/>
      <c r="AQ143" s="53"/>
      <c r="AR143" s="53"/>
    </row>
    <row r="144" spans="1:59" ht="15" customHeight="1">
      <c r="A144" s="348" t="s">
        <v>311</v>
      </c>
      <c r="B144" s="66" t="s">
        <v>236</v>
      </c>
      <c r="E144" s="1" t="s">
        <v>136</v>
      </c>
    </row>
    <row r="145" spans="1:62" ht="15" customHeight="1">
      <c r="A145" s="348"/>
      <c r="B145" s="12" t="s">
        <v>73</v>
      </c>
      <c r="C145" s="54">
        <f>C123</f>
        <v>0</v>
      </c>
      <c r="E145" s="336" t="s">
        <v>130</v>
      </c>
      <c r="F145" s="336"/>
      <c r="G145" s="336" t="s">
        <v>131</v>
      </c>
      <c r="H145" s="336"/>
      <c r="N145" s="33" t="s">
        <v>93</v>
      </c>
      <c r="O145" s="1"/>
      <c r="P145" s="65"/>
      <c r="Q145" s="1"/>
      <c r="R145" s="1"/>
      <c r="S145" s="33" t="s">
        <v>128</v>
      </c>
      <c r="Y145" s="90" t="s">
        <v>283</v>
      </c>
    </row>
    <row r="146" spans="1:62" ht="15" customHeight="1">
      <c r="A146" s="348"/>
      <c r="B146" s="12" t="s">
        <v>74</v>
      </c>
      <c r="C146" s="54">
        <f>C124</f>
        <v>0</v>
      </c>
      <c r="E146" s="44" t="s">
        <v>79</v>
      </c>
      <c r="F146" s="46">
        <f>CS_5!B45</f>
        <v>5.0000000000000001E-3</v>
      </c>
      <c r="G146" s="44" t="s">
        <v>79</v>
      </c>
      <c r="H146" s="46">
        <f>CS_5!B52</f>
        <v>0</v>
      </c>
      <c r="O146" t="s">
        <v>83</v>
      </c>
      <c r="P146" s="7" t="s">
        <v>84</v>
      </c>
      <c r="Q146" s="25" t="s">
        <v>85</v>
      </c>
      <c r="R146" s="25" t="s">
        <v>86</v>
      </c>
      <c r="T146" t="s">
        <v>83</v>
      </c>
      <c r="U146" s="7" t="s">
        <v>84</v>
      </c>
      <c r="V146" s="25" t="s">
        <v>85</v>
      </c>
      <c r="W146" s="25" t="s">
        <v>86</v>
      </c>
      <c r="Y146" t="s">
        <v>83</v>
      </c>
      <c r="Z146" s="7" t="s">
        <v>84</v>
      </c>
      <c r="AA146" s="25" t="s">
        <v>85</v>
      </c>
      <c r="AB146" s="25" t="s">
        <v>86</v>
      </c>
    </row>
    <row r="147" spans="1:62" ht="15" customHeight="1">
      <c r="A147" s="348"/>
      <c r="B147" s="12" t="s">
        <v>75</v>
      </c>
      <c r="C147" s="54">
        <f>C125</f>
        <v>0</v>
      </c>
      <c r="E147" s="44" t="s">
        <v>106</v>
      </c>
      <c r="F147" s="46">
        <f>CS_5!B46</f>
        <v>5.0000000000000001E-3</v>
      </c>
      <c r="G147" s="44" t="s">
        <v>106</v>
      </c>
      <c r="H147" s="46">
        <f>CS_5!B53</f>
        <v>0</v>
      </c>
      <c r="N147" s="44" t="s">
        <v>79</v>
      </c>
      <c r="O147" s="48">
        <f>ABS(F146)</f>
        <v>5.0000000000000001E-3</v>
      </c>
      <c r="P147" s="48">
        <f>ABS(F149*O161)</f>
        <v>0</v>
      </c>
      <c r="Q147" s="48">
        <f>ABS(F150*P161)</f>
        <v>0</v>
      </c>
      <c r="R147" s="48">
        <f>ABS(F151*Q161)</f>
        <v>0</v>
      </c>
      <c r="S147" s="44" t="s">
        <v>79</v>
      </c>
      <c r="T147" s="47">
        <f t="array" ref="T147:W150">ABS(MMULT(T165:W168,O147:R150))</f>
        <v>5.0000000000000001E-3</v>
      </c>
      <c r="U147" s="47">
        <v>0</v>
      </c>
      <c r="V147" s="47">
        <v>0</v>
      </c>
      <c r="W147" s="47">
        <v>0</v>
      </c>
      <c r="X147" s="68" t="s">
        <v>79</v>
      </c>
      <c r="Y147" s="47">
        <f>F153+F160</f>
        <v>0</v>
      </c>
      <c r="Z147" s="28">
        <f>F156*O161</f>
        <v>0</v>
      </c>
      <c r="AA147" s="28">
        <f>F157*P161</f>
        <v>0</v>
      </c>
      <c r="AB147" s="28">
        <f>F158*Q161</f>
        <v>0</v>
      </c>
    </row>
    <row r="148" spans="1:62" ht="15" customHeight="1">
      <c r="A148" s="58">
        <v>5</v>
      </c>
      <c r="B148" s="1" t="s">
        <v>76</v>
      </c>
      <c r="E148" s="44" t="s">
        <v>107</v>
      </c>
      <c r="F148" s="46">
        <f>CS_5!B47</f>
        <v>5.0000000000000001E-3</v>
      </c>
      <c r="G148" s="44" t="s">
        <v>107</v>
      </c>
      <c r="H148" s="46">
        <f>CS_5!B54</f>
        <v>0</v>
      </c>
      <c r="N148" s="44" t="s">
        <v>106</v>
      </c>
      <c r="O148" s="48">
        <f t="shared" ref="O148:O149" si="33">ABS(F147)</f>
        <v>5.0000000000000001E-3</v>
      </c>
      <c r="P148" s="48">
        <f>ABS(F149*O162)</f>
        <v>0</v>
      </c>
      <c r="Q148" s="48">
        <f>ABS(F150*P162)</f>
        <v>0</v>
      </c>
      <c r="R148" s="48">
        <f>ABS(F151*Q162)</f>
        <v>0</v>
      </c>
      <c r="S148" s="44" t="s">
        <v>106</v>
      </c>
      <c r="T148" s="47">
        <v>5.0000000000000001E-3</v>
      </c>
      <c r="U148" s="47">
        <v>0</v>
      </c>
      <c r="V148" s="47">
        <v>0</v>
      </c>
      <c r="W148" s="47">
        <v>0</v>
      </c>
      <c r="X148" s="68" t="s">
        <v>106</v>
      </c>
      <c r="Y148" s="47">
        <f t="shared" ref="Y148:Y149" si="34">F154+F161</f>
        <v>0</v>
      </c>
      <c r="Z148" s="28">
        <f>F156*O162</f>
        <v>0</v>
      </c>
      <c r="AA148" s="28">
        <f>F157*P162</f>
        <v>0</v>
      </c>
      <c r="AB148" s="28">
        <f>F158*Q162</f>
        <v>0</v>
      </c>
    </row>
    <row r="149" spans="1:62" ht="15" customHeight="1">
      <c r="A149" s="41">
        <f>IF(A148&gt;Naxes,0,1)</f>
        <v>0</v>
      </c>
      <c r="B149" s="2" t="s">
        <v>168</v>
      </c>
      <c r="C149" s="35">
        <v>0</v>
      </c>
      <c r="E149" s="4" t="s">
        <v>80</v>
      </c>
      <c r="F149" s="46">
        <f>CS_5!B48</f>
        <v>1.0000000000000007E-4</v>
      </c>
      <c r="G149" s="4" t="s">
        <v>80</v>
      </c>
      <c r="H149" s="46">
        <f>CS_5!B55</f>
        <v>0</v>
      </c>
      <c r="N149" s="44" t="s">
        <v>107</v>
      </c>
      <c r="O149" s="48">
        <f t="shared" si="33"/>
        <v>5.0000000000000001E-3</v>
      </c>
      <c r="P149" s="48">
        <f>ABS(F149*O163)</f>
        <v>0</v>
      </c>
      <c r="Q149" s="48">
        <f>ABS(F150*P163)</f>
        <v>0</v>
      </c>
      <c r="R149" s="48">
        <f>ABS(F151*Q163)</f>
        <v>0</v>
      </c>
      <c r="S149" s="44" t="s">
        <v>107</v>
      </c>
      <c r="T149" s="47">
        <v>5.0000000000000001E-3</v>
      </c>
      <c r="U149" s="47">
        <v>0</v>
      </c>
      <c r="V149" s="47">
        <v>0</v>
      </c>
      <c r="W149" s="47">
        <v>0</v>
      </c>
      <c r="X149" s="68" t="s">
        <v>107</v>
      </c>
      <c r="Y149" s="47">
        <f t="shared" si="34"/>
        <v>-6.8382155265459951E-3</v>
      </c>
      <c r="Z149" s="28">
        <f>F156*O163</f>
        <v>0</v>
      </c>
      <c r="AA149" s="28">
        <f>F157*P163</f>
        <v>0</v>
      </c>
      <c r="AB149" s="28">
        <f>F158*Q163</f>
        <v>0</v>
      </c>
    </row>
    <row r="150" spans="1:62" ht="15" customHeight="1">
      <c r="A150" s="346" t="s">
        <v>121</v>
      </c>
      <c r="B150" s="2" t="s">
        <v>170</v>
      </c>
      <c r="C150" s="35">
        <v>0</v>
      </c>
      <c r="E150" s="4" t="s">
        <v>81</v>
      </c>
      <c r="F150" s="46">
        <f>CS_5!B49</f>
        <v>9.9999999000000077E-5</v>
      </c>
      <c r="G150" s="4" t="s">
        <v>81</v>
      </c>
      <c r="H150" s="46">
        <f>CS_5!B56</f>
        <v>0</v>
      </c>
      <c r="N150" s="6" t="s">
        <v>102</v>
      </c>
      <c r="O150" s="28">
        <v>1</v>
      </c>
      <c r="P150" s="28">
        <v>1</v>
      </c>
      <c r="Q150" s="28">
        <v>1</v>
      </c>
      <c r="R150" s="28">
        <v>1</v>
      </c>
      <c r="S150" s="6" t="s">
        <v>102</v>
      </c>
      <c r="T150" s="47">
        <v>1</v>
      </c>
      <c r="U150" s="47">
        <v>1</v>
      </c>
      <c r="V150" s="47">
        <v>1</v>
      </c>
      <c r="W150" s="47">
        <v>1</v>
      </c>
      <c r="X150" s="6" t="s">
        <v>102</v>
      </c>
      <c r="Y150" s="28">
        <v>1</v>
      </c>
      <c r="Z150" s="28">
        <v>1</v>
      </c>
      <c r="AA150" s="28">
        <v>1</v>
      </c>
      <c r="AB150" s="28">
        <v>1</v>
      </c>
    </row>
    <row r="151" spans="1:62" ht="15" customHeight="1">
      <c r="A151" s="346"/>
      <c r="B151" s="2" t="s">
        <v>169</v>
      </c>
      <c r="C151" s="35">
        <v>0</v>
      </c>
      <c r="E151" s="4" t="s">
        <v>82</v>
      </c>
      <c r="F151" s="46">
        <f>CS_5!B50</f>
        <v>1.0000000000000007E-4</v>
      </c>
      <c r="G151" s="4" t="s">
        <v>82</v>
      </c>
      <c r="H151" s="46">
        <f>CS_5!B57</f>
        <v>0</v>
      </c>
      <c r="X151" s="6"/>
    </row>
    <row r="152" spans="1:62" ht="31" customHeight="1">
      <c r="A152" s="346"/>
      <c r="B152" s="2" t="s">
        <v>402</v>
      </c>
      <c r="C152" s="300">
        <v>0</v>
      </c>
      <c r="D152" s="356" t="s">
        <v>412</v>
      </c>
      <c r="E152" s="347" t="s">
        <v>289</v>
      </c>
      <c r="F152" s="347"/>
      <c r="G152" s="336" t="s">
        <v>237</v>
      </c>
      <c r="H152" s="336"/>
      <c r="I152" s="347" t="s">
        <v>292</v>
      </c>
      <c r="J152" s="347"/>
      <c r="K152" s="347" t="s">
        <v>290</v>
      </c>
      <c r="L152" s="347"/>
      <c r="N152" s="33" t="s">
        <v>94</v>
      </c>
      <c r="O152" s="1"/>
      <c r="P152" s="65"/>
      <c r="Q152" s="1"/>
      <c r="R152" s="1"/>
      <c r="S152" s="33" t="s">
        <v>129</v>
      </c>
      <c r="X152" s="6"/>
      <c r="Y152" s="90" t="s">
        <v>282</v>
      </c>
    </row>
    <row r="153" spans="1:62" ht="15" customHeight="1">
      <c r="A153" s="346"/>
      <c r="B153" s="2" t="s">
        <v>403</v>
      </c>
      <c r="C153" s="300">
        <v>0</v>
      </c>
      <c r="D153" s="356"/>
      <c r="E153" s="44" t="s">
        <v>79</v>
      </c>
      <c r="F153" s="47">
        <f>E169/IF(H153=0,1000000000000,H153)</f>
        <v>0</v>
      </c>
      <c r="G153" s="4" t="s">
        <v>111</v>
      </c>
      <c r="H153" s="28">
        <f>CS_5!B25</f>
        <v>4000000</v>
      </c>
      <c r="I153" s="4" t="s">
        <v>80</v>
      </c>
      <c r="J153" s="47">
        <f>A182*F196</f>
        <v>0</v>
      </c>
      <c r="K153" s="4" t="s">
        <v>80</v>
      </c>
      <c r="L153" s="131">
        <f t="array" ref="L153:L156">MMULT(MINVERSE(O165:R168),J153:J156)</f>
        <v>0</v>
      </c>
      <c r="O153" t="s">
        <v>83</v>
      </c>
      <c r="P153" s="7" t="s">
        <v>84</v>
      </c>
      <c r="Q153" s="25" t="s">
        <v>85</v>
      </c>
      <c r="R153" s="25" t="s">
        <v>86</v>
      </c>
      <c r="T153" t="s">
        <v>83</v>
      </c>
      <c r="U153" s="7" t="s">
        <v>84</v>
      </c>
      <c r="V153" s="25" t="s">
        <v>85</v>
      </c>
      <c r="W153" s="25" t="s">
        <v>86</v>
      </c>
      <c r="X153" s="6"/>
      <c r="Y153" t="s">
        <v>83</v>
      </c>
      <c r="Z153" s="7" t="s">
        <v>84</v>
      </c>
      <c r="AA153" s="25" t="s">
        <v>85</v>
      </c>
      <c r="AB153" s="25" t="s">
        <v>86</v>
      </c>
    </row>
    <row r="154" spans="1:62" ht="15" customHeight="1" thickBot="1">
      <c r="A154" s="349" t="s">
        <v>390</v>
      </c>
      <c r="B154" s="2" t="s">
        <v>404</v>
      </c>
      <c r="C154" s="300">
        <v>0</v>
      </c>
      <c r="D154" s="356"/>
      <c r="E154" s="44" t="s">
        <v>106</v>
      </c>
      <c r="F154" s="47">
        <f t="shared" ref="F154:F155" si="35">E170/IF(H154=0,1000000000000,H154)</f>
        <v>0</v>
      </c>
      <c r="G154" s="4" t="s">
        <v>112</v>
      </c>
      <c r="H154" s="28">
        <f>CS_5!B26</f>
        <v>4000000</v>
      </c>
      <c r="I154" s="4" t="s">
        <v>81</v>
      </c>
      <c r="J154" s="47">
        <f>A182*F197</f>
        <v>0</v>
      </c>
      <c r="K154" s="4" t="s">
        <v>81</v>
      </c>
      <c r="L154" s="131">
        <v>0</v>
      </c>
      <c r="N154" s="44" t="s">
        <v>79</v>
      </c>
      <c r="O154" s="48">
        <f>H146</f>
        <v>0</v>
      </c>
      <c r="P154" s="48">
        <f>H149*O161</f>
        <v>0</v>
      </c>
      <c r="Q154" s="48">
        <f>H150*P161</f>
        <v>0</v>
      </c>
      <c r="R154" s="48">
        <f>H151*Q161</f>
        <v>0</v>
      </c>
      <c r="S154" s="44" t="s">
        <v>79</v>
      </c>
      <c r="T154" s="48">
        <f t="array" ref="T154:T157">MMULT(T165:W168,O154:O157)</f>
        <v>0</v>
      </c>
      <c r="U154" s="48">
        <f t="array" ref="U154:U157">MMULT(T165:W168,P154:P157)</f>
        <v>0</v>
      </c>
      <c r="V154" s="48">
        <f t="array" ref="V154:V157">MMULT(T165:W168,Q154:Q157)</f>
        <v>0</v>
      </c>
      <c r="W154" s="48">
        <f t="array" ref="W154:W157">MMULT(T165:W168,R154:R157)</f>
        <v>0</v>
      </c>
      <c r="X154" s="68" t="s">
        <v>79</v>
      </c>
      <c r="Y154" s="28">
        <f t="array" ref="Y154:Y157">MMULT(T165:W168,Y147:Y150)</f>
        <v>0</v>
      </c>
      <c r="Z154" s="28">
        <f t="array" ref="Z154:Z157">MMULT(T165:W168,Z147:Z150)</f>
        <v>0</v>
      </c>
      <c r="AA154" s="28">
        <f t="array" ref="AA154:AA157">MMULT(T165:W168,AA147:AA150)</f>
        <v>0</v>
      </c>
      <c r="AB154" s="28">
        <f t="array" ref="AB154:AB157">MMULT(T165:W168,AB147:AB150)</f>
        <v>0</v>
      </c>
    </row>
    <row r="155" spans="1:62" ht="15" customHeight="1">
      <c r="A155" s="360"/>
      <c r="B155" s="297" t="s">
        <v>391</v>
      </c>
      <c r="C155" s="307"/>
      <c r="E155" s="44" t="s">
        <v>107</v>
      </c>
      <c r="F155" s="47">
        <f t="shared" si="35"/>
        <v>-4.55E-4</v>
      </c>
      <c r="G155" s="4" t="s">
        <v>113</v>
      </c>
      <c r="H155" s="28">
        <f>CS_5!B27</f>
        <v>4000000</v>
      </c>
      <c r="I155" s="4" t="s">
        <v>82</v>
      </c>
      <c r="J155" s="47">
        <f>A182*F198</f>
        <v>0</v>
      </c>
      <c r="K155" s="4" t="s">
        <v>82</v>
      </c>
      <c r="L155" s="131">
        <v>0</v>
      </c>
      <c r="N155" s="44" t="s">
        <v>106</v>
      </c>
      <c r="O155" s="48">
        <f>H147</f>
        <v>0</v>
      </c>
      <c r="P155" s="48">
        <f>H149*O162</f>
        <v>0</v>
      </c>
      <c r="Q155" s="48">
        <f>H150*P162</f>
        <v>0</v>
      </c>
      <c r="R155" s="48">
        <f>H151*Q162</f>
        <v>0</v>
      </c>
      <c r="S155" s="44" t="s">
        <v>106</v>
      </c>
      <c r="T155" s="48">
        <v>0</v>
      </c>
      <c r="U155" s="48">
        <v>0</v>
      </c>
      <c r="V155" s="48">
        <v>0</v>
      </c>
      <c r="W155" s="48">
        <v>0</v>
      </c>
      <c r="X155" s="68" t="s">
        <v>106</v>
      </c>
      <c r="Y155" s="28">
        <v>0</v>
      </c>
      <c r="Z155" s="28">
        <v>0</v>
      </c>
      <c r="AA155" s="28">
        <v>0</v>
      </c>
      <c r="AB155" s="28">
        <v>0</v>
      </c>
    </row>
    <row r="156" spans="1:62" ht="15" customHeight="1">
      <c r="A156" s="360"/>
      <c r="B156" s="12" t="s">
        <v>405</v>
      </c>
      <c r="C156" s="308">
        <f>AC165+C152</f>
        <v>0</v>
      </c>
      <c r="E156" s="4" t="s">
        <v>80</v>
      </c>
      <c r="F156" s="47">
        <f>E173/IF(H156=0,1000000000000,H156)+L153</f>
        <v>1.3194722111155538E-4</v>
      </c>
      <c r="G156" s="44" t="s">
        <v>8</v>
      </c>
      <c r="H156" s="28">
        <f>CS_5!B29</f>
        <v>10004000000</v>
      </c>
      <c r="I156" s="4" t="s">
        <v>291</v>
      </c>
      <c r="J156" s="28">
        <v>1</v>
      </c>
      <c r="K156" s="4" t="s">
        <v>291</v>
      </c>
      <c r="L156" s="131">
        <v>1</v>
      </c>
      <c r="N156" s="44" t="s">
        <v>107</v>
      </c>
      <c r="O156" s="48">
        <f>H148</f>
        <v>0</v>
      </c>
      <c r="P156" s="48">
        <f>H149*O163</f>
        <v>0</v>
      </c>
      <c r="Q156" s="48">
        <f>H150*P163</f>
        <v>0</v>
      </c>
      <c r="R156" s="48">
        <f>H151*Q163</f>
        <v>0</v>
      </c>
      <c r="S156" s="44" t="s">
        <v>107</v>
      </c>
      <c r="T156" s="48">
        <v>0</v>
      </c>
      <c r="U156" s="48">
        <v>0</v>
      </c>
      <c r="V156" s="48">
        <v>0</v>
      </c>
      <c r="W156" s="48">
        <v>0</v>
      </c>
      <c r="X156" s="68" t="s">
        <v>107</v>
      </c>
      <c r="Y156" s="28">
        <v>-6.8382155265459951E-3</v>
      </c>
      <c r="Z156" s="28">
        <v>0</v>
      </c>
      <c r="AA156" s="28">
        <v>0</v>
      </c>
      <c r="AB156" s="28">
        <v>0</v>
      </c>
    </row>
    <row r="157" spans="1:62" ht="15" customHeight="1">
      <c r="A157" s="360"/>
      <c r="B157" s="12" t="s">
        <v>406</v>
      </c>
      <c r="C157" s="308">
        <f>AC166+C153</f>
        <v>0</v>
      </c>
      <c r="E157" s="4" t="s">
        <v>81</v>
      </c>
      <c r="F157" s="47">
        <f t="shared" ref="F157:F158" si="36">E174/IF(H157=0,1000000000000,H157)+L154</f>
        <v>1.5996800639872025E-5</v>
      </c>
      <c r="G157" s="44" t="s">
        <v>114</v>
      </c>
      <c r="H157" s="28">
        <f>CS_5!B30</f>
        <v>20004000000</v>
      </c>
      <c r="N157" s="6" t="s">
        <v>102</v>
      </c>
      <c r="O157" s="28">
        <v>1</v>
      </c>
      <c r="P157" s="28">
        <v>1</v>
      </c>
      <c r="Q157" s="28">
        <v>1</v>
      </c>
      <c r="R157" s="28">
        <v>1</v>
      </c>
      <c r="S157" s="6" t="s">
        <v>102</v>
      </c>
      <c r="T157" s="28">
        <v>1</v>
      </c>
      <c r="U157" s="28">
        <v>1</v>
      </c>
      <c r="V157" s="28">
        <v>1</v>
      </c>
      <c r="W157" s="28">
        <v>1</v>
      </c>
      <c r="X157" s="6" t="s">
        <v>102</v>
      </c>
      <c r="Y157" s="28">
        <v>1</v>
      </c>
      <c r="Z157" s="28">
        <v>1</v>
      </c>
      <c r="AA157" s="28">
        <v>1</v>
      </c>
      <c r="AB157" s="28">
        <v>1</v>
      </c>
    </row>
    <row r="158" spans="1:62" ht="15" customHeight="1" thickBot="1">
      <c r="A158" s="360"/>
      <c r="B158" s="12" t="s">
        <v>407</v>
      </c>
      <c r="C158" s="309">
        <f>AC167+C154</f>
        <v>0</v>
      </c>
      <c r="E158" s="4" t="s">
        <v>82</v>
      </c>
      <c r="F158" s="47">
        <f t="shared" si="36"/>
        <v>0</v>
      </c>
      <c r="G158" s="44" t="s">
        <v>110</v>
      </c>
      <c r="H158" s="28">
        <f>CS_5!B31</f>
        <v>10004000000</v>
      </c>
      <c r="AB158" s="5"/>
      <c r="AU158" s="5" t="s">
        <v>67</v>
      </c>
      <c r="AZ158" s="5" t="s">
        <v>87</v>
      </c>
      <c r="BE158" s="5" t="s">
        <v>92</v>
      </c>
      <c r="BJ158" s="5" t="s">
        <v>92</v>
      </c>
    </row>
    <row r="159" spans="1:62" ht="34">
      <c r="A159" s="350"/>
      <c r="B159" s="67" t="s">
        <v>101</v>
      </c>
      <c r="E159" s="336" t="s">
        <v>280</v>
      </c>
      <c r="F159" s="352"/>
      <c r="G159" s="353" t="s">
        <v>279</v>
      </c>
      <c r="H159" s="354"/>
      <c r="I159" s="354"/>
      <c r="J159" s="354"/>
      <c r="K159" s="354"/>
      <c r="L159" s="355"/>
      <c r="M159" s="89" t="s">
        <v>281</v>
      </c>
      <c r="N159" s="82" t="s">
        <v>234</v>
      </c>
      <c r="AE159" s="43" t="s">
        <v>214</v>
      </c>
      <c r="AF159" s="295">
        <f>CS_5!B60</f>
        <v>1.0000000000000007E-4</v>
      </c>
      <c r="AG159" s="43"/>
      <c r="AH159" s="43"/>
      <c r="AI159" s="43"/>
      <c r="AJ159" s="43" t="s">
        <v>88</v>
      </c>
      <c r="AK159" s="295">
        <f>CS_5!B61</f>
        <v>9.9999999000000077E-5</v>
      </c>
      <c r="AL159" s="7"/>
      <c r="AM159" s="7"/>
      <c r="AN159" s="43"/>
      <c r="AO159" s="43" t="s">
        <v>213</v>
      </c>
      <c r="AP159" s="295">
        <f>CS_5!B62</f>
        <v>1.0000000000000007E-4</v>
      </c>
      <c r="AU159" s="7" t="s">
        <v>0</v>
      </c>
      <c r="AV159" s="7" t="s">
        <v>1</v>
      </c>
      <c r="AW159" s="7" t="s">
        <v>2</v>
      </c>
      <c r="AZ159" s="7" t="s">
        <v>0</v>
      </c>
      <c r="BA159" s="7" t="s">
        <v>1</v>
      </c>
      <c r="BB159" s="7" t="s">
        <v>2</v>
      </c>
      <c r="BE159" s="7" t="s">
        <v>0</v>
      </c>
      <c r="BF159" s="7" t="s">
        <v>1</v>
      </c>
      <c r="BG159" s="7" t="s">
        <v>2</v>
      </c>
    </row>
    <row r="160" spans="1:62" ht="15" customHeight="1">
      <c r="A160" s="350"/>
      <c r="B160" s="39" t="s">
        <v>95</v>
      </c>
      <c r="C160" s="41">
        <f t="array" ref="C160:C163">MMULT(O132:R135,E136:E139)</f>
        <v>0</v>
      </c>
      <c r="E160" s="44" t="s">
        <v>79</v>
      </c>
      <c r="F160" s="47">
        <f t="array" ref="F160:F165">MMULT(G160:L165,M160:M165)</f>
        <v>0</v>
      </c>
      <c r="G160" s="124">
        <f>CS_5!G5</f>
        <v>9.918934000131239E-7</v>
      </c>
      <c r="H160" s="124">
        <f>CS_5!H5</f>
        <v>0</v>
      </c>
      <c r="I160" s="124">
        <f>CS_5!I5</f>
        <v>0</v>
      </c>
      <c r="J160" s="124">
        <f>CS_5!J5</f>
        <v>0</v>
      </c>
      <c r="K160" s="124">
        <f>CS_5!K5</f>
        <v>0</v>
      </c>
      <c r="L160" s="124">
        <f>CS_5!L5</f>
        <v>-9.1559390770442208E-9</v>
      </c>
      <c r="M160" s="28">
        <f>C160</f>
        <v>0</v>
      </c>
      <c r="O160" s="7" t="s">
        <v>4</v>
      </c>
      <c r="P160" s="25" t="s">
        <v>5</v>
      </c>
      <c r="Q160" s="25" t="s">
        <v>6</v>
      </c>
      <c r="R160" s="25"/>
      <c r="S160" s="25"/>
      <c r="T160" s="25"/>
      <c r="U160" s="25"/>
      <c r="V160" s="25"/>
      <c r="W160" s="25"/>
      <c r="X160" s="25"/>
      <c r="Y160" s="25"/>
      <c r="Z160" s="25"/>
      <c r="AA160" s="25"/>
      <c r="AB160" t="s">
        <v>66</v>
      </c>
      <c r="AC160" s="28">
        <f>C145</f>
        <v>0</v>
      </c>
      <c r="AD160" s="28"/>
      <c r="AE160" s="76">
        <v>1</v>
      </c>
      <c r="AF160" s="47">
        <v>0</v>
      </c>
      <c r="AG160" s="47">
        <v>0</v>
      </c>
      <c r="AH160" s="77">
        <v>0</v>
      </c>
      <c r="AI160" s="78"/>
      <c r="AJ160" s="47">
        <f>COS(AK159)</f>
        <v>0.99999999500000014</v>
      </c>
      <c r="AK160" s="47">
        <v>0</v>
      </c>
      <c r="AL160" s="47">
        <f>-AJ162</f>
        <v>9.9999998833333415E-5</v>
      </c>
      <c r="AM160" s="47">
        <v>0</v>
      </c>
      <c r="AN160" s="78"/>
      <c r="AO160" s="47">
        <f>COS(AP159)</f>
        <v>0.99999999500000003</v>
      </c>
      <c r="AP160" s="47">
        <f>-AO161</f>
        <v>-9.9999999833333411E-5</v>
      </c>
      <c r="AQ160" s="47">
        <v>0</v>
      </c>
      <c r="AR160" s="47">
        <v>0</v>
      </c>
      <c r="AS160" s="78"/>
      <c r="AT160" s="28" t="s">
        <v>63</v>
      </c>
      <c r="AU160" s="47">
        <f t="array" ref="AU160:AU163">MMULT(AE160:AH163,$AC160:$AC163)</f>
        <v>0</v>
      </c>
      <c r="AV160" s="47">
        <f>AU160-$AC160</f>
        <v>0</v>
      </c>
      <c r="AW160" s="47">
        <f>AV160/AF159</f>
        <v>0</v>
      </c>
      <c r="AX160" s="78"/>
      <c r="AY160" s="28" t="s">
        <v>63</v>
      </c>
      <c r="AZ160" s="47">
        <f t="array" ref="AZ160:AZ163">MMULT(AJ160:AM163,$AC160:$AC163)</f>
        <v>0</v>
      </c>
      <c r="BA160" s="47">
        <f>AZ160-$AC160</f>
        <v>0</v>
      </c>
      <c r="BB160" s="47">
        <f>BA160/AK159</f>
        <v>0</v>
      </c>
      <c r="BC160" s="78"/>
      <c r="BD160" s="28" t="s">
        <v>63</v>
      </c>
      <c r="BE160" s="47">
        <f t="array" ref="BE160:BE163">MMULT(AO160:AR163,$AC160:$AC163)</f>
        <v>0</v>
      </c>
      <c r="BF160" s="47">
        <f>BE160-$AC160</f>
        <v>0</v>
      </c>
      <c r="BG160" s="47">
        <f>BF160/AP159</f>
        <v>0</v>
      </c>
    </row>
    <row r="161" spans="1:59" ht="17">
      <c r="A161" s="350"/>
      <c r="B161" s="39" t="s">
        <v>96</v>
      </c>
      <c r="C161" s="41">
        <v>0</v>
      </c>
      <c r="E161" s="44" t="s">
        <v>106</v>
      </c>
      <c r="F161" s="47">
        <v>0</v>
      </c>
      <c r="G161" s="124">
        <f>CS_5!G6</f>
        <v>0</v>
      </c>
      <c r="H161" s="124">
        <f>CS_5!H6</f>
        <v>1.3906169979351685E-7</v>
      </c>
      <c r="I161" s="124">
        <f>CS_5!I6</f>
        <v>0</v>
      </c>
      <c r="J161" s="124">
        <f>CS_5!J6</f>
        <v>0</v>
      </c>
      <c r="K161" s="124">
        <f>CS_5!K6</f>
        <v>0</v>
      </c>
      <c r="L161" s="124">
        <f>CS_5!L6</f>
        <v>0</v>
      </c>
      <c r="M161" s="28">
        <f t="shared" ref="M161:M162" si="37">C161</f>
        <v>0</v>
      </c>
      <c r="N161" s="44" t="s">
        <v>79</v>
      </c>
      <c r="O161" s="30">
        <f>AW160</f>
        <v>0</v>
      </c>
      <c r="P161" s="30">
        <f>BB160</f>
        <v>0</v>
      </c>
      <c r="Q161" s="30">
        <f>BG160</f>
        <v>0</v>
      </c>
      <c r="AB161" t="s">
        <v>71</v>
      </c>
      <c r="AC161" s="28">
        <f>C146</f>
        <v>0</v>
      </c>
      <c r="AD161" s="28"/>
      <c r="AE161" s="76">
        <v>0</v>
      </c>
      <c r="AF161" s="47">
        <f>COS(AF159)</f>
        <v>0.99999999500000003</v>
      </c>
      <c r="AG161" s="47">
        <f>-SIN(AF159)</f>
        <v>-9.9999999833333411E-5</v>
      </c>
      <c r="AH161" s="77">
        <v>0</v>
      </c>
      <c r="AI161" s="78"/>
      <c r="AJ161" s="47">
        <v>0</v>
      </c>
      <c r="AK161" s="47">
        <v>1</v>
      </c>
      <c r="AL161" s="47">
        <v>0</v>
      </c>
      <c r="AM161" s="47">
        <v>0</v>
      </c>
      <c r="AN161" s="78"/>
      <c r="AO161" s="47">
        <f>SIN(AP159)</f>
        <v>9.9999999833333411E-5</v>
      </c>
      <c r="AP161" s="47">
        <f>AO160</f>
        <v>0.99999999500000003</v>
      </c>
      <c r="AQ161" s="47">
        <v>0</v>
      </c>
      <c r="AR161" s="47">
        <v>0</v>
      </c>
      <c r="AS161" s="78"/>
      <c r="AT161" s="28" t="s">
        <v>64</v>
      </c>
      <c r="AU161" s="47">
        <v>0</v>
      </c>
      <c r="AV161" s="47">
        <f>AU161-$AC161</f>
        <v>0</v>
      </c>
      <c r="AW161" s="47">
        <f>AV161/AF159</f>
        <v>0</v>
      </c>
      <c r="AX161" s="78"/>
      <c r="AY161" s="28" t="s">
        <v>64</v>
      </c>
      <c r="AZ161" s="47">
        <v>0</v>
      </c>
      <c r="BA161" s="47">
        <f>AZ161-$AC161</f>
        <v>0</v>
      </c>
      <c r="BB161" s="47">
        <f>BA161/AK159</f>
        <v>0</v>
      </c>
      <c r="BC161" s="78"/>
      <c r="BD161" s="28" t="s">
        <v>64</v>
      </c>
      <c r="BE161" s="47">
        <v>0</v>
      </c>
      <c r="BF161" s="47">
        <f>BE161-$AC161</f>
        <v>0</v>
      </c>
      <c r="BG161" s="47">
        <f>BF161/AP159</f>
        <v>0</v>
      </c>
    </row>
    <row r="162" spans="1:59" ht="17">
      <c r="A162" s="350"/>
      <c r="B162" s="39" t="s">
        <v>97</v>
      </c>
      <c r="C162" s="41">
        <v>-1820</v>
      </c>
      <c r="E162" s="44" t="s">
        <v>107</v>
      </c>
      <c r="F162" s="47">
        <v>-6.3832155265459954E-3</v>
      </c>
      <c r="G162" s="124">
        <f>CS_5!G7</f>
        <v>0</v>
      </c>
      <c r="H162" s="124">
        <f>CS_5!H7</f>
        <v>0</v>
      </c>
      <c r="I162" s="124">
        <f>CS_5!I7</f>
        <v>9.918934000131239E-7</v>
      </c>
      <c r="J162" s="124">
        <f>CS_5!J7</f>
        <v>9.1559390770442208E-9</v>
      </c>
      <c r="K162" s="124">
        <f>CS_5!K7</f>
        <v>0</v>
      </c>
      <c r="L162" s="124">
        <f>CS_5!L7</f>
        <v>0</v>
      </c>
      <c r="M162" s="28">
        <f t="shared" si="37"/>
        <v>-1820</v>
      </c>
      <c r="N162" s="44" t="s">
        <v>106</v>
      </c>
      <c r="O162" s="30">
        <f t="shared" ref="O162:O163" si="38">AW161</f>
        <v>0</v>
      </c>
      <c r="P162" s="30">
        <f t="shared" ref="P162:P163" si="39">BB161</f>
        <v>0</v>
      </c>
      <c r="Q162" s="30">
        <f t="shared" ref="Q162:Q163" si="40">BG161</f>
        <v>0</v>
      </c>
      <c r="AB162" t="s">
        <v>72</v>
      </c>
      <c r="AC162" s="28">
        <f>C147</f>
        <v>0</v>
      </c>
      <c r="AD162" s="28"/>
      <c r="AE162" s="76">
        <v>0</v>
      </c>
      <c r="AF162" s="47">
        <f>-AG161</f>
        <v>9.9999999833333411E-5</v>
      </c>
      <c r="AG162" s="47">
        <f>AF161</f>
        <v>0.99999999500000003</v>
      </c>
      <c r="AH162" s="77">
        <v>0</v>
      </c>
      <c r="AI162" s="78"/>
      <c r="AJ162" s="47">
        <f>-SIN(AK159)</f>
        <v>-9.9999998833333415E-5</v>
      </c>
      <c r="AK162" s="47">
        <v>0</v>
      </c>
      <c r="AL162" s="47">
        <f>COS(AK159)</f>
        <v>0.99999999500000014</v>
      </c>
      <c r="AM162" s="47">
        <v>0</v>
      </c>
      <c r="AN162" s="78"/>
      <c r="AO162" s="47">
        <v>0</v>
      </c>
      <c r="AP162" s="47">
        <v>0</v>
      </c>
      <c r="AQ162" s="47">
        <v>1</v>
      </c>
      <c r="AR162" s="47">
        <v>0</v>
      </c>
      <c r="AS162" s="78"/>
      <c r="AT162" s="28" t="s">
        <v>65</v>
      </c>
      <c r="AU162" s="47">
        <v>0</v>
      </c>
      <c r="AV162" s="47">
        <f>AU162-$AC162</f>
        <v>0</v>
      </c>
      <c r="AW162" s="47">
        <f>AV162/AF159</f>
        <v>0</v>
      </c>
      <c r="AX162" s="78"/>
      <c r="AY162" s="28" t="s">
        <v>65</v>
      </c>
      <c r="AZ162" s="47">
        <v>0</v>
      </c>
      <c r="BA162" s="47">
        <f>AZ162-$AC162</f>
        <v>0</v>
      </c>
      <c r="BB162" s="47">
        <f>BA162/AK159</f>
        <v>0</v>
      </c>
      <c r="BC162" s="78"/>
      <c r="BD162" s="28" t="s">
        <v>65</v>
      </c>
      <c r="BE162" s="47">
        <v>0</v>
      </c>
      <c r="BF162" s="47">
        <f>BE162-$AC162</f>
        <v>0</v>
      </c>
      <c r="BG162" s="47">
        <f>BF162/AP159</f>
        <v>0</v>
      </c>
    </row>
    <row r="163" spans="1:59" ht="15" customHeight="1">
      <c r="A163" s="350"/>
      <c r="B163" s="39" t="s">
        <v>102</v>
      </c>
      <c r="C163" s="41">
        <v>1</v>
      </c>
      <c r="E163" s="4" t="s">
        <v>80</v>
      </c>
      <c r="F163" s="47">
        <v>-1.2025504290857336E-4</v>
      </c>
      <c r="G163" s="124">
        <f>CS_5!G8</f>
        <v>0</v>
      </c>
      <c r="H163" s="124">
        <f>CS_5!H8</f>
        <v>0</v>
      </c>
      <c r="I163" s="124">
        <f>CS_5!I8</f>
        <v>9.1559390770442208E-9</v>
      </c>
      <c r="J163" s="124">
        <f>CS_5!J8</f>
        <v>2.0718246757670576E-10</v>
      </c>
      <c r="K163" s="124">
        <f>CS_5!K8</f>
        <v>0</v>
      </c>
      <c r="L163" s="124">
        <f>CS_5!L8</f>
        <v>0</v>
      </c>
      <c r="M163" s="28">
        <f>C164</f>
        <v>-500000</v>
      </c>
      <c r="N163" s="44" t="s">
        <v>107</v>
      </c>
      <c r="O163" s="30">
        <f t="shared" si="38"/>
        <v>0</v>
      </c>
      <c r="P163" s="30">
        <f t="shared" si="39"/>
        <v>0</v>
      </c>
      <c r="Q163" s="30">
        <f t="shared" si="40"/>
        <v>0</v>
      </c>
      <c r="AC163" s="28">
        <v>1</v>
      </c>
      <c r="AD163" s="28"/>
      <c r="AE163" s="76">
        <v>0</v>
      </c>
      <c r="AF163" s="47">
        <v>0</v>
      </c>
      <c r="AG163" s="47">
        <v>0</v>
      </c>
      <c r="AH163" s="77">
        <v>1</v>
      </c>
      <c r="AI163" s="78"/>
      <c r="AJ163" s="47">
        <v>0</v>
      </c>
      <c r="AK163" s="47">
        <v>0</v>
      </c>
      <c r="AL163" s="47">
        <v>0</v>
      </c>
      <c r="AM163" s="47">
        <v>1</v>
      </c>
      <c r="AN163" s="78"/>
      <c r="AO163" s="47">
        <v>0</v>
      </c>
      <c r="AP163" s="47">
        <v>0</v>
      </c>
      <c r="AQ163" s="47">
        <v>0</v>
      </c>
      <c r="AR163" s="47">
        <v>1</v>
      </c>
      <c r="AS163" s="78"/>
      <c r="AT163" s="28"/>
      <c r="AU163" s="47">
        <v>1</v>
      </c>
      <c r="AV163" s="47"/>
      <c r="AW163" s="47"/>
      <c r="AX163" s="78"/>
      <c r="AY163" s="28"/>
      <c r="AZ163" s="47">
        <v>1</v>
      </c>
      <c r="BA163" s="47"/>
      <c r="BB163" s="47"/>
      <c r="BC163" s="78"/>
      <c r="BD163" s="28"/>
      <c r="BE163" s="47">
        <v>1</v>
      </c>
      <c r="BF163" s="47"/>
      <c r="BG163" s="47"/>
    </row>
    <row r="164" spans="1:59" ht="15" customHeight="1">
      <c r="A164" s="350"/>
      <c r="B164" s="39" t="s">
        <v>98</v>
      </c>
      <c r="C164" s="41">
        <f t="array" ref="C164:C167">MMULT(O132:R135,E140:E143)</f>
        <v>-500000</v>
      </c>
      <c r="E164" s="4" t="s">
        <v>81</v>
      </c>
      <c r="F164" s="47">
        <v>-2.0808936568996373E-5</v>
      </c>
      <c r="G164" s="124">
        <f>CS_5!G9</f>
        <v>0</v>
      </c>
      <c r="H164" s="124">
        <f>CS_5!H9</f>
        <v>0</v>
      </c>
      <c r="I164" s="124">
        <f>CS_5!I9</f>
        <v>0</v>
      </c>
      <c r="J164" s="124">
        <f>CS_5!J9</f>
        <v>0</v>
      </c>
      <c r="K164" s="124">
        <f>CS_5!K9</f>
        <v>1.5414027088145461E-10</v>
      </c>
      <c r="L164" s="124">
        <f>CS_5!L9</f>
        <v>0</v>
      </c>
      <c r="M164" s="28">
        <f>C165</f>
        <v>-135000</v>
      </c>
      <c r="O164" s="3" t="s">
        <v>77</v>
      </c>
      <c r="T164" s="3" t="s">
        <v>78</v>
      </c>
      <c r="AE164" t="s">
        <v>90</v>
      </c>
      <c r="AJ164" t="s">
        <v>89</v>
      </c>
      <c r="AO164" t="s">
        <v>91</v>
      </c>
    </row>
    <row r="165" spans="1:59" ht="15" customHeight="1">
      <c r="A165" s="350"/>
      <c r="B165" s="39" t="s">
        <v>99</v>
      </c>
      <c r="C165" s="41">
        <v>-135000</v>
      </c>
      <c r="E165" s="4" t="s">
        <v>82</v>
      </c>
      <c r="F165" s="47">
        <v>0</v>
      </c>
      <c r="G165" s="124">
        <f>CS_5!G10</f>
        <v>-9.1559390770442208E-9</v>
      </c>
      <c r="H165" s="124">
        <f>CS_5!H10</f>
        <v>0</v>
      </c>
      <c r="I165" s="124">
        <f>CS_5!I10</f>
        <v>0</v>
      </c>
      <c r="J165" s="124">
        <f>CS_5!J10</f>
        <v>0</v>
      </c>
      <c r="K165" s="124">
        <f>CS_5!K10</f>
        <v>0</v>
      </c>
      <c r="L165" s="124">
        <f>CS_5!L10</f>
        <v>2.0718246757670576E-10</v>
      </c>
      <c r="M165" s="28">
        <f>C166</f>
        <v>0</v>
      </c>
      <c r="O165" s="30">
        <f t="array" ref="O165:R168">MMULT(AO165:AR168,MMULT(AJ165:AM168,AE165:AH168))</f>
        <v>1</v>
      </c>
      <c r="P165" s="30">
        <v>0</v>
      </c>
      <c r="Q165" s="30">
        <v>0</v>
      </c>
      <c r="R165" s="30">
        <v>0</v>
      </c>
      <c r="S165" s="11"/>
      <c r="T165" s="30">
        <f t="array" ref="T165:W168">IF(A186=1,MMULT(T198:W201,O165:R168),T$363:W$366)</f>
        <v>1</v>
      </c>
      <c r="U165" s="30">
        <v>0</v>
      </c>
      <c r="V165" s="30">
        <v>0</v>
      </c>
      <c r="W165" s="30">
        <v>0</v>
      </c>
      <c r="X165" s="30"/>
      <c r="Y165" s="30"/>
      <c r="Z165" s="30"/>
      <c r="AA165" s="30"/>
      <c r="AB165" t="s">
        <v>68</v>
      </c>
      <c r="AC165" s="28">
        <f t="array" ref="AC165:AC168">MMULT(O165:R168,AC160:AC163)</f>
        <v>0</v>
      </c>
      <c r="AD165" s="28"/>
      <c r="AE165" s="27">
        <v>1</v>
      </c>
      <c r="AF165" s="28">
        <v>0</v>
      </c>
      <c r="AG165" s="28">
        <v>0</v>
      </c>
      <c r="AH165" s="29">
        <v>0</v>
      </c>
      <c r="AJ165" s="27">
        <f>COS(PI()*C150/180)</f>
        <v>1</v>
      </c>
      <c r="AK165" s="28">
        <v>0</v>
      </c>
      <c r="AL165" s="28">
        <f>SIN(PI()*C150/180)</f>
        <v>0</v>
      </c>
      <c r="AM165" s="29">
        <v>0</v>
      </c>
      <c r="AO165" s="27">
        <f>COS(PI()*C151/180)</f>
        <v>1</v>
      </c>
      <c r="AP165" s="28">
        <f>-SIN(PI()*C151/180)</f>
        <v>0</v>
      </c>
      <c r="AQ165" s="28">
        <v>0</v>
      </c>
      <c r="AR165" s="29">
        <v>0</v>
      </c>
    </row>
    <row r="166" spans="1:59" ht="15" customHeight="1">
      <c r="A166" s="350"/>
      <c r="B166" s="39" t="s">
        <v>100</v>
      </c>
      <c r="C166" s="41">
        <v>0</v>
      </c>
      <c r="G166" s="105"/>
      <c r="H166" s="105"/>
      <c r="I166" s="105"/>
      <c r="J166" s="117"/>
      <c r="K166" s="117"/>
      <c r="L166" s="117"/>
      <c r="M166" s="117"/>
      <c r="O166" s="30">
        <v>0</v>
      </c>
      <c r="P166" s="30">
        <v>1</v>
      </c>
      <c r="Q166" s="30">
        <v>0</v>
      </c>
      <c r="R166" s="30">
        <v>0</v>
      </c>
      <c r="S166" s="11"/>
      <c r="T166" s="30">
        <v>0</v>
      </c>
      <c r="U166" s="30">
        <v>1</v>
      </c>
      <c r="V166" s="30">
        <v>0</v>
      </c>
      <c r="W166" s="30">
        <v>0</v>
      </c>
      <c r="X166" s="30"/>
      <c r="Y166" s="30"/>
      <c r="Z166" s="30"/>
      <c r="AA166" s="30"/>
      <c r="AB166" t="s">
        <v>69</v>
      </c>
      <c r="AC166" s="28">
        <v>0</v>
      </c>
      <c r="AD166" s="28"/>
      <c r="AE166" s="27">
        <v>0</v>
      </c>
      <c r="AF166" s="28">
        <f>COS(PI()*C149/180)</f>
        <v>1</v>
      </c>
      <c r="AG166" s="28">
        <f>-SIN(PI()*C149/180)</f>
        <v>0</v>
      </c>
      <c r="AH166" s="29">
        <v>0</v>
      </c>
      <c r="AJ166" s="27">
        <v>0</v>
      </c>
      <c r="AK166" s="28">
        <v>1</v>
      </c>
      <c r="AL166" s="28">
        <v>0</v>
      </c>
      <c r="AM166" s="29">
        <v>0</v>
      </c>
      <c r="AO166" s="27">
        <f>SIN(PI()*C151/180)</f>
        <v>0</v>
      </c>
      <c r="AP166" s="28">
        <f>AO165</f>
        <v>1</v>
      </c>
      <c r="AQ166" s="28">
        <v>0</v>
      </c>
      <c r="AR166" s="29">
        <v>0</v>
      </c>
    </row>
    <row r="167" spans="1:59" ht="15" customHeight="1">
      <c r="A167" s="350"/>
      <c r="B167" s="39" t="s">
        <v>102</v>
      </c>
      <c r="C167" s="41">
        <v>1</v>
      </c>
      <c r="G167" s="105"/>
      <c r="H167" s="105"/>
      <c r="I167" s="105"/>
      <c r="J167" s="117"/>
      <c r="K167" s="117"/>
      <c r="L167" s="117"/>
      <c r="M167" s="117"/>
      <c r="O167" s="30">
        <v>0</v>
      </c>
      <c r="P167" s="30">
        <v>0</v>
      </c>
      <c r="Q167" s="30">
        <v>1</v>
      </c>
      <c r="R167" s="30">
        <v>0</v>
      </c>
      <c r="S167" s="11"/>
      <c r="T167" s="30">
        <v>0</v>
      </c>
      <c r="U167" s="30">
        <v>0</v>
      </c>
      <c r="V167" s="30">
        <v>1</v>
      </c>
      <c r="W167" s="30">
        <v>0</v>
      </c>
      <c r="X167" s="30"/>
      <c r="Y167" s="30"/>
      <c r="Z167" s="30"/>
      <c r="AA167" s="30"/>
      <c r="AB167" t="s">
        <v>70</v>
      </c>
      <c r="AC167" s="28">
        <v>0</v>
      </c>
      <c r="AD167" s="28"/>
      <c r="AE167" s="27">
        <v>0</v>
      </c>
      <c r="AF167" s="28">
        <f>SIN(PI()*C149/180)</f>
        <v>0</v>
      </c>
      <c r="AG167" s="28">
        <f>AF166</f>
        <v>1</v>
      </c>
      <c r="AH167" s="29">
        <v>0</v>
      </c>
      <c r="AJ167" s="27">
        <f>-SIN(PI()*C150/180)</f>
        <v>0</v>
      </c>
      <c r="AK167" s="28">
        <v>0</v>
      </c>
      <c r="AL167" s="28">
        <f>AJ165</f>
        <v>1</v>
      </c>
      <c r="AM167" s="29">
        <v>0</v>
      </c>
      <c r="AO167" s="27">
        <v>0</v>
      </c>
      <c r="AP167" s="28">
        <v>0</v>
      </c>
      <c r="AQ167" s="28">
        <v>1</v>
      </c>
      <c r="AR167" s="29">
        <v>0</v>
      </c>
    </row>
    <row r="168" spans="1:59" s="114" customFormat="1">
      <c r="A168" s="350"/>
      <c r="B168" s="75" t="s">
        <v>173</v>
      </c>
      <c r="C168"/>
      <c r="D168" s="87" t="s">
        <v>232</v>
      </c>
      <c r="E168"/>
      <c r="G168" s="119"/>
      <c r="H168" s="119"/>
      <c r="I168" s="119"/>
      <c r="J168" s="126"/>
      <c r="K168" s="126"/>
      <c r="L168" s="126"/>
      <c r="M168" s="126"/>
      <c r="O168" s="115">
        <v>0</v>
      </c>
      <c r="P168" s="115">
        <v>0</v>
      </c>
      <c r="Q168" s="115">
        <v>0</v>
      </c>
      <c r="R168" s="115">
        <v>1</v>
      </c>
      <c r="S168" s="116"/>
      <c r="T168" s="115">
        <v>0</v>
      </c>
      <c r="U168" s="115">
        <v>0</v>
      </c>
      <c r="V168" s="115">
        <v>0</v>
      </c>
      <c r="W168" s="115">
        <v>1</v>
      </c>
      <c r="X168" s="115"/>
      <c r="Y168" s="115"/>
      <c r="Z168" s="115"/>
      <c r="AA168" s="115"/>
      <c r="AC168" s="31">
        <v>1</v>
      </c>
      <c r="AD168" s="31"/>
      <c r="AE168" s="31">
        <v>0</v>
      </c>
      <c r="AF168" s="31">
        <v>0</v>
      </c>
      <c r="AG168" s="31">
        <v>0</v>
      </c>
      <c r="AH168" s="31">
        <v>1</v>
      </c>
      <c r="AJ168" s="31">
        <v>0</v>
      </c>
      <c r="AK168" s="31">
        <v>0</v>
      </c>
      <c r="AL168" s="31">
        <v>0</v>
      </c>
      <c r="AM168" s="31">
        <v>1</v>
      </c>
      <c r="AO168" s="31">
        <v>0</v>
      </c>
      <c r="AP168" s="31">
        <v>0</v>
      </c>
      <c r="AQ168" s="31">
        <v>0</v>
      </c>
      <c r="AR168" s="31">
        <v>1</v>
      </c>
    </row>
    <row r="169" spans="1:59" s="114" customFormat="1" ht="17">
      <c r="A169" s="350"/>
      <c r="B169" s="39" t="s">
        <v>95</v>
      </c>
      <c r="C169" s="40">
        <v>0</v>
      </c>
      <c r="D169" s="39" t="s">
        <v>95</v>
      </c>
      <c r="E169" s="41">
        <f>C160+C169</f>
        <v>0</v>
      </c>
      <c r="F169" s="122"/>
      <c r="G169" s="126"/>
      <c r="H169" s="129"/>
      <c r="I169" s="126"/>
      <c r="J169" s="126"/>
      <c r="K169" s="126"/>
      <c r="L169" s="126"/>
      <c r="M169" s="126"/>
      <c r="O169" s="115"/>
      <c r="P169" s="115"/>
      <c r="Q169" s="115"/>
      <c r="R169" s="115"/>
      <c r="S169" s="116"/>
      <c r="T169" s="115"/>
      <c r="U169" s="115"/>
      <c r="V169" s="115"/>
      <c r="W169" s="115"/>
      <c r="X169" s="115"/>
      <c r="Y169" s="115"/>
      <c r="Z169" s="115"/>
      <c r="AA169" s="115"/>
      <c r="AC169" s="31"/>
      <c r="AD169" s="31"/>
      <c r="AE169" s="31"/>
      <c r="AF169" s="31"/>
      <c r="AG169" s="31"/>
      <c r="AH169" s="31"/>
      <c r="AJ169" s="31"/>
      <c r="AK169" s="31"/>
      <c r="AL169" s="31"/>
      <c r="AM169" s="31"/>
      <c r="AO169" s="31"/>
      <c r="AP169" s="31"/>
      <c r="AQ169" s="31"/>
      <c r="AR169" s="31"/>
    </row>
    <row r="170" spans="1:59" s="114" customFormat="1" ht="17">
      <c r="A170" s="350"/>
      <c r="B170" s="39" t="s">
        <v>96</v>
      </c>
      <c r="C170" s="40">
        <v>0</v>
      </c>
      <c r="D170" s="39" t="s">
        <v>96</v>
      </c>
      <c r="E170" s="41">
        <f>C161+C170</f>
        <v>0</v>
      </c>
      <c r="F170" s="122"/>
      <c r="G170" s="126"/>
      <c r="H170" s="129"/>
      <c r="I170" s="126"/>
      <c r="J170" s="126"/>
      <c r="K170" s="126"/>
      <c r="L170" s="126"/>
      <c r="M170" s="126"/>
      <c r="O170" s="115"/>
      <c r="P170" s="115"/>
      <c r="Q170" s="115"/>
      <c r="R170" s="115"/>
      <c r="S170" s="116"/>
      <c r="T170" s="115"/>
      <c r="U170" s="115"/>
      <c r="V170" s="115"/>
      <c r="W170" s="115"/>
      <c r="X170" s="115"/>
      <c r="Y170" s="115"/>
      <c r="Z170" s="115"/>
      <c r="AA170" s="115"/>
      <c r="AC170" s="31"/>
      <c r="AD170" s="31"/>
      <c r="AE170" s="31"/>
      <c r="AF170" s="31"/>
      <c r="AG170" s="31"/>
      <c r="AH170" s="31"/>
      <c r="AJ170" s="31"/>
      <c r="AK170" s="31"/>
      <c r="AL170" s="31"/>
      <c r="AM170" s="31"/>
      <c r="AO170" s="31"/>
      <c r="AP170" s="31"/>
      <c r="AQ170" s="31"/>
      <c r="AR170" s="31"/>
    </row>
    <row r="171" spans="1:59" s="114" customFormat="1" ht="17">
      <c r="A171" s="350"/>
      <c r="B171" s="39" t="s">
        <v>97</v>
      </c>
      <c r="C171" s="40">
        <v>0</v>
      </c>
      <c r="D171" s="39" t="s">
        <v>97</v>
      </c>
      <c r="E171" s="41">
        <f>C162+C171</f>
        <v>-1820</v>
      </c>
      <c r="F171" s="122"/>
      <c r="G171" s="126"/>
      <c r="H171" s="129"/>
      <c r="I171" s="126"/>
      <c r="J171" s="126"/>
      <c r="K171" s="126"/>
      <c r="L171" s="126"/>
      <c r="M171" s="126"/>
      <c r="O171" s="115"/>
      <c r="P171" s="115"/>
      <c r="Q171" s="115"/>
      <c r="R171" s="115"/>
      <c r="S171" s="116"/>
      <c r="T171" s="115"/>
      <c r="U171" s="115"/>
      <c r="V171" s="115"/>
      <c r="W171" s="115"/>
      <c r="X171" s="115"/>
      <c r="Y171" s="115"/>
      <c r="Z171" s="115"/>
      <c r="AA171" s="115"/>
      <c r="AC171" s="31"/>
      <c r="AD171" s="31"/>
      <c r="AE171" s="31"/>
      <c r="AF171" s="31"/>
      <c r="AG171" s="31"/>
      <c r="AH171" s="31"/>
      <c r="AJ171" s="31"/>
      <c r="AK171" s="31"/>
      <c r="AL171" s="31"/>
      <c r="AM171" s="31"/>
      <c r="AO171" s="31"/>
      <c r="AP171" s="31"/>
      <c r="AQ171" s="31"/>
      <c r="AR171" s="31"/>
    </row>
    <row r="172" spans="1:59" s="114" customFormat="1" ht="17">
      <c r="A172" s="350"/>
      <c r="B172" s="122" t="s">
        <v>102</v>
      </c>
      <c r="C172" s="123">
        <v>1</v>
      </c>
      <c r="D172" s="122" t="s">
        <v>102</v>
      </c>
      <c r="E172" s="123">
        <v>1</v>
      </c>
      <c r="F172" s="122"/>
      <c r="G172" s="126"/>
      <c r="H172" s="129"/>
      <c r="I172" s="126"/>
      <c r="J172" s="126"/>
      <c r="K172" s="126"/>
      <c r="L172" s="126"/>
      <c r="M172" s="126"/>
      <c r="O172" s="115"/>
      <c r="P172" s="115"/>
      <c r="Q172" s="115"/>
      <c r="R172" s="115"/>
      <c r="S172" s="116"/>
      <c r="T172" s="115"/>
      <c r="U172" s="115"/>
      <c r="V172" s="115"/>
      <c r="W172" s="115"/>
      <c r="X172" s="115"/>
      <c r="Y172" s="115"/>
      <c r="Z172" s="115"/>
      <c r="AA172" s="115"/>
      <c r="AC172" s="31"/>
      <c r="AD172" s="31"/>
      <c r="AE172" s="31"/>
      <c r="AF172" s="31"/>
      <c r="AG172" s="31"/>
      <c r="AH172" s="31"/>
      <c r="AJ172" s="31"/>
      <c r="AK172" s="31"/>
      <c r="AL172" s="31"/>
      <c r="AM172" s="31"/>
      <c r="AO172" s="31"/>
      <c r="AP172" s="31"/>
      <c r="AQ172" s="31"/>
      <c r="AR172" s="31"/>
    </row>
    <row r="173" spans="1:59" s="114" customFormat="1" ht="17">
      <c r="A173" s="350"/>
      <c r="B173" s="39" t="s">
        <v>98</v>
      </c>
      <c r="C173" s="40">
        <v>0</v>
      </c>
      <c r="D173" s="39" t="s">
        <v>98</v>
      </c>
      <c r="E173" s="41">
        <f>C164+C173+C162*C120-C161*C121</f>
        <v>1320000</v>
      </c>
      <c r="F173" s="122"/>
      <c r="G173" s="126"/>
      <c r="H173" s="129"/>
      <c r="I173" s="126"/>
      <c r="J173" s="126"/>
      <c r="K173" s="126"/>
      <c r="L173" s="126"/>
      <c r="M173" s="126"/>
      <c r="O173" s="115"/>
      <c r="P173" s="115"/>
      <c r="Q173" s="115"/>
      <c r="R173" s="115"/>
      <c r="S173" s="116"/>
      <c r="T173" s="115"/>
      <c r="U173" s="115"/>
      <c r="V173" s="115"/>
      <c r="W173" s="115"/>
      <c r="X173" s="115"/>
      <c r="Y173" s="115"/>
      <c r="Z173" s="115"/>
      <c r="AA173" s="115"/>
      <c r="AC173" s="31"/>
      <c r="AD173" s="31"/>
      <c r="AE173" s="31"/>
      <c r="AF173" s="31"/>
      <c r="AG173" s="31"/>
      <c r="AH173" s="31"/>
      <c r="AJ173" s="31"/>
      <c r="AK173" s="31"/>
      <c r="AL173" s="31"/>
      <c r="AM173" s="31"/>
      <c r="AO173" s="31"/>
      <c r="AP173" s="31"/>
      <c r="AQ173" s="31"/>
      <c r="AR173" s="31"/>
    </row>
    <row r="174" spans="1:59" s="114" customFormat="1" ht="17">
      <c r="A174" s="350"/>
      <c r="B174" s="39" t="s">
        <v>99</v>
      </c>
      <c r="C174" s="40">
        <v>0</v>
      </c>
      <c r="D174" s="39" t="s">
        <v>99</v>
      </c>
      <c r="E174" s="41">
        <f>C165+C174+C160*C121-C162*C119</f>
        <v>320000</v>
      </c>
      <c r="F174" s="122"/>
      <c r="G174" s="126"/>
      <c r="H174" s="129"/>
      <c r="I174" s="126"/>
      <c r="J174" s="126"/>
      <c r="K174" s="126"/>
      <c r="L174" s="126"/>
      <c r="M174" s="126"/>
      <c r="O174" s="115"/>
      <c r="P174" s="115"/>
      <c r="Q174" s="115"/>
      <c r="R174" s="115"/>
      <c r="S174" s="116"/>
      <c r="T174" s="115"/>
      <c r="U174" s="115"/>
      <c r="V174" s="115"/>
      <c r="W174" s="115"/>
      <c r="X174" s="115"/>
      <c r="Y174" s="115"/>
      <c r="Z174" s="115"/>
      <c r="AA174" s="115"/>
      <c r="AC174" s="31"/>
      <c r="AD174" s="31"/>
      <c r="AE174" s="31"/>
      <c r="AF174" s="31"/>
      <c r="AG174" s="31"/>
      <c r="AH174" s="31"/>
      <c r="AJ174" s="31"/>
      <c r="AK174" s="31"/>
      <c r="AL174" s="31"/>
      <c r="AM174" s="31"/>
      <c r="AO174" s="31"/>
      <c r="AP174" s="31"/>
      <c r="AQ174" s="31"/>
      <c r="AR174" s="31"/>
    </row>
    <row r="175" spans="1:59" s="114" customFormat="1" ht="17">
      <c r="A175" s="350"/>
      <c r="B175" s="39" t="s">
        <v>100</v>
      </c>
      <c r="C175" s="40">
        <v>0</v>
      </c>
      <c r="D175" s="39" t="s">
        <v>100</v>
      </c>
      <c r="E175" s="41">
        <f>C166+C175+C161*C119-C160*C120</f>
        <v>0</v>
      </c>
      <c r="F175" s="122"/>
      <c r="G175" s="126"/>
      <c r="H175" s="129"/>
      <c r="I175" s="126"/>
      <c r="J175" s="126"/>
      <c r="K175" s="126"/>
      <c r="L175" s="126"/>
      <c r="M175" s="126"/>
      <c r="O175" s="115"/>
      <c r="P175" s="115"/>
      <c r="Q175" s="115"/>
      <c r="R175" s="115"/>
      <c r="S175" s="116"/>
      <c r="T175" s="115"/>
      <c r="U175" s="115"/>
      <c r="V175" s="115"/>
      <c r="W175" s="115"/>
      <c r="X175" s="115"/>
      <c r="Y175" s="115"/>
      <c r="Z175" s="115"/>
      <c r="AA175" s="115"/>
      <c r="AC175" s="31"/>
      <c r="AD175" s="31"/>
      <c r="AE175" s="31"/>
      <c r="AF175" s="31"/>
      <c r="AG175" s="31"/>
      <c r="AH175" s="31"/>
      <c r="AJ175" s="31"/>
      <c r="AK175" s="31"/>
      <c r="AL175" s="31"/>
      <c r="AM175" s="31"/>
      <c r="AO175" s="31"/>
      <c r="AP175" s="31"/>
      <c r="AQ175" s="31"/>
      <c r="AR175" s="31"/>
    </row>
    <row r="176" spans="1:59" s="50" customFormat="1" ht="18" thickBot="1">
      <c r="A176" s="351"/>
      <c r="B176" s="55" t="s">
        <v>102</v>
      </c>
      <c r="C176" s="56">
        <v>1</v>
      </c>
      <c r="D176" s="55" t="s">
        <v>102</v>
      </c>
      <c r="E176" s="56">
        <v>1</v>
      </c>
      <c r="F176" s="55"/>
      <c r="G176" s="127"/>
      <c r="H176" s="130"/>
      <c r="I176" s="127"/>
      <c r="J176" s="127"/>
      <c r="K176" s="127"/>
      <c r="L176" s="127"/>
      <c r="M176" s="127"/>
      <c r="O176" s="51"/>
      <c r="P176" s="51"/>
      <c r="Q176" s="51"/>
      <c r="R176" s="51"/>
      <c r="S176" s="52"/>
      <c r="T176" s="51"/>
      <c r="U176" s="51"/>
      <c r="V176" s="51"/>
      <c r="W176" s="51"/>
      <c r="X176" s="51"/>
      <c r="Y176" s="51"/>
      <c r="Z176" s="51"/>
      <c r="AA176" s="51"/>
      <c r="AC176" s="53"/>
      <c r="AD176" s="53"/>
      <c r="AE176" s="53"/>
      <c r="AF176" s="53"/>
      <c r="AG176" s="53"/>
      <c r="AH176" s="53"/>
      <c r="AJ176" s="53"/>
      <c r="AK176" s="53"/>
      <c r="AL176" s="53"/>
      <c r="AM176" s="53"/>
      <c r="AO176" s="53"/>
      <c r="AP176" s="53"/>
      <c r="AQ176" s="53"/>
      <c r="AR176" s="53"/>
    </row>
    <row r="177" spans="1:62" ht="15" customHeight="1">
      <c r="A177" s="348" t="s">
        <v>312</v>
      </c>
      <c r="B177" s="66" t="s">
        <v>236</v>
      </c>
      <c r="E177" s="1" t="s">
        <v>137</v>
      </c>
    </row>
    <row r="178" spans="1:62" ht="15" customHeight="1">
      <c r="A178" s="348"/>
      <c r="B178" s="12" t="s">
        <v>73</v>
      </c>
      <c r="C178" s="54">
        <f>C156</f>
        <v>0</v>
      </c>
      <c r="E178" s="336" t="s">
        <v>130</v>
      </c>
      <c r="F178" s="336"/>
      <c r="G178" s="336" t="s">
        <v>131</v>
      </c>
      <c r="H178" s="336"/>
      <c r="N178" s="33" t="s">
        <v>93</v>
      </c>
      <c r="O178" s="1"/>
      <c r="P178" s="65"/>
      <c r="Q178" s="1"/>
      <c r="R178" s="1"/>
      <c r="S178" s="33" t="s">
        <v>128</v>
      </c>
      <c r="Y178" s="90" t="s">
        <v>283</v>
      </c>
    </row>
    <row r="179" spans="1:62" ht="15" customHeight="1">
      <c r="A179" s="348"/>
      <c r="B179" s="12" t="s">
        <v>74</v>
      </c>
      <c r="C179" s="54">
        <f>C157</f>
        <v>0</v>
      </c>
      <c r="E179" s="44" t="s">
        <v>79</v>
      </c>
      <c r="F179" s="46">
        <f>CS_6!B45</f>
        <v>5.0000000000000001E-3</v>
      </c>
      <c r="G179" s="44" t="s">
        <v>79</v>
      </c>
      <c r="H179" s="46">
        <f>CS_6!B52</f>
        <v>0</v>
      </c>
      <c r="O179" t="s">
        <v>83</v>
      </c>
      <c r="P179" s="7" t="s">
        <v>84</v>
      </c>
      <c r="Q179" s="25" t="s">
        <v>85</v>
      </c>
      <c r="R179" s="25" t="s">
        <v>86</v>
      </c>
      <c r="T179" t="s">
        <v>83</v>
      </c>
      <c r="U179" s="7" t="s">
        <v>84</v>
      </c>
      <c r="V179" s="25" t="s">
        <v>85</v>
      </c>
      <c r="W179" s="25" t="s">
        <v>86</v>
      </c>
      <c r="Y179" t="s">
        <v>83</v>
      </c>
      <c r="Z179" s="7" t="s">
        <v>84</v>
      </c>
      <c r="AA179" s="25" t="s">
        <v>85</v>
      </c>
      <c r="AB179" s="25" t="s">
        <v>86</v>
      </c>
    </row>
    <row r="180" spans="1:62" ht="15" customHeight="1">
      <c r="A180" s="348"/>
      <c r="B180" s="12" t="s">
        <v>75</v>
      </c>
      <c r="C180" s="54">
        <f>C158</f>
        <v>0</v>
      </c>
      <c r="E180" s="44" t="s">
        <v>106</v>
      </c>
      <c r="F180" s="46">
        <f>CS_6!B46</f>
        <v>5.0000000000000001E-3</v>
      </c>
      <c r="G180" s="44" t="s">
        <v>106</v>
      </c>
      <c r="H180" s="46">
        <f>CS_6!B53</f>
        <v>0</v>
      </c>
      <c r="N180" s="44" t="s">
        <v>79</v>
      </c>
      <c r="O180" s="48">
        <f>ABS(F179)</f>
        <v>5.0000000000000001E-3</v>
      </c>
      <c r="P180" s="48">
        <f>ABS(F182*O194)</f>
        <v>0</v>
      </c>
      <c r="Q180" s="48">
        <f>ABS(F183*P194)</f>
        <v>0</v>
      </c>
      <c r="R180" s="48">
        <f>ABS(F184*Q194)</f>
        <v>0</v>
      </c>
      <c r="S180" s="44" t="s">
        <v>79</v>
      </c>
      <c r="T180" s="47">
        <f t="array" ref="T180:W183">ABS(MMULT(T198:W201,O180:R183))</f>
        <v>5.0000000000000001E-3</v>
      </c>
      <c r="U180" s="47">
        <v>0</v>
      </c>
      <c r="V180" s="47">
        <v>0</v>
      </c>
      <c r="W180" s="47">
        <v>0</v>
      </c>
      <c r="X180" s="68" t="s">
        <v>79</v>
      </c>
      <c r="Y180" s="47">
        <f>F186+F193</f>
        <v>-4.8315186206556423E-3</v>
      </c>
      <c r="Z180" s="28">
        <f>F189*O194</f>
        <v>0</v>
      </c>
      <c r="AA180" s="28">
        <f>F190*P194</f>
        <v>0</v>
      </c>
      <c r="AB180" s="28">
        <f>F191*Q194</f>
        <v>0</v>
      </c>
    </row>
    <row r="181" spans="1:62" ht="15" customHeight="1">
      <c r="A181" s="58">
        <v>6</v>
      </c>
      <c r="B181" s="1" t="s">
        <v>76</v>
      </c>
      <c r="E181" s="44" t="s">
        <v>107</v>
      </c>
      <c r="F181" s="46">
        <f>CS_6!B47</f>
        <v>5.0000000000000001E-3</v>
      </c>
      <c r="G181" s="44" t="s">
        <v>107</v>
      </c>
      <c r="H181" s="46">
        <f>CS_6!B54</f>
        <v>0</v>
      </c>
      <c r="N181" s="44" t="s">
        <v>106</v>
      </c>
      <c r="O181" s="48">
        <f t="shared" ref="O181:O182" si="41">ABS(F180)</f>
        <v>5.0000000000000001E-3</v>
      </c>
      <c r="P181" s="48">
        <f>ABS(F182*O195)</f>
        <v>0</v>
      </c>
      <c r="Q181" s="48">
        <f>ABS(F183*P195)</f>
        <v>0</v>
      </c>
      <c r="R181" s="48">
        <f>ABS(F184*Q195)</f>
        <v>0</v>
      </c>
      <c r="S181" s="44" t="s">
        <v>106</v>
      </c>
      <c r="T181" s="47">
        <v>5.0000000000000001E-3</v>
      </c>
      <c r="U181" s="47">
        <v>0</v>
      </c>
      <c r="V181" s="47">
        <v>0</v>
      </c>
      <c r="W181" s="47">
        <v>0</v>
      </c>
      <c r="X181" s="68" t="s">
        <v>106</v>
      </c>
      <c r="Y181" s="47">
        <f t="shared" ref="Y181:Y182" si="42">F187+F194</f>
        <v>-1.9930014310204525E-2</v>
      </c>
      <c r="Z181" s="28">
        <f>F189*O195</f>
        <v>0</v>
      </c>
      <c r="AA181" s="28">
        <f>F190*P195</f>
        <v>0</v>
      </c>
      <c r="AB181" s="28">
        <f>F191*Q195</f>
        <v>0</v>
      </c>
    </row>
    <row r="182" spans="1:62" ht="15" customHeight="1">
      <c r="A182" s="41">
        <f>IF(A181&gt;Naxes,0,1)</f>
        <v>0</v>
      </c>
      <c r="B182" s="2" t="s">
        <v>168</v>
      </c>
      <c r="C182" s="35">
        <v>0</v>
      </c>
      <c r="E182" s="4" t="s">
        <v>80</v>
      </c>
      <c r="F182" s="46">
        <f>CS_6!B48</f>
        <v>1.0000000000000007E-4</v>
      </c>
      <c r="G182" s="4" t="s">
        <v>80</v>
      </c>
      <c r="H182" s="46">
        <f>CS_6!B55</f>
        <v>0</v>
      </c>
      <c r="N182" s="44" t="s">
        <v>107</v>
      </c>
      <c r="O182" s="48">
        <f t="shared" si="41"/>
        <v>5.0000000000000001E-3</v>
      </c>
      <c r="P182" s="48">
        <f>ABS(F182*O196)</f>
        <v>0</v>
      </c>
      <c r="Q182" s="48">
        <f>ABS(F183*P196)</f>
        <v>0</v>
      </c>
      <c r="R182" s="48">
        <f>ABS(F184*Q196)</f>
        <v>0</v>
      </c>
      <c r="S182" s="44" t="s">
        <v>107</v>
      </c>
      <c r="T182" s="47">
        <v>5.0000000000000001E-3</v>
      </c>
      <c r="U182" s="47">
        <v>0</v>
      </c>
      <c r="V182" s="47">
        <v>0</v>
      </c>
      <c r="W182" s="47">
        <v>0</v>
      </c>
      <c r="X182" s="68" t="s">
        <v>107</v>
      </c>
      <c r="Y182" s="47">
        <f t="shared" si="42"/>
        <v>-1.180227379905364E-3</v>
      </c>
      <c r="Z182" s="28">
        <f>F189*O196</f>
        <v>0</v>
      </c>
      <c r="AA182" s="28">
        <f>F190*P196</f>
        <v>0</v>
      </c>
      <c r="AB182" s="28">
        <f>F191*Q196</f>
        <v>0</v>
      </c>
    </row>
    <row r="183" spans="1:62" ht="15" customHeight="1">
      <c r="A183" s="346" t="s">
        <v>121</v>
      </c>
      <c r="B183" s="2" t="s">
        <v>170</v>
      </c>
      <c r="C183" s="35">
        <v>0</v>
      </c>
      <c r="E183" s="4" t="s">
        <v>81</v>
      </c>
      <c r="F183" s="46">
        <f>CS_6!B49</f>
        <v>9.9999999000000077E-5</v>
      </c>
      <c r="G183" s="4" t="s">
        <v>81</v>
      </c>
      <c r="H183" s="46">
        <f>CS_6!B56</f>
        <v>0</v>
      </c>
      <c r="N183" s="6" t="s">
        <v>102</v>
      </c>
      <c r="O183" s="28">
        <v>1</v>
      </c>
      <c r="P183" s="28">
        <v>1</v>
      </c>
      <c r="Q183" s="28">
        <v>1</v>
      </c>
      <c r="R183" s="28">
        <v>1</v>
      </c>
      <c r="S183" s="6" t="s">
        <v>102</v>
      </c>
      <c r="T183" s="47">
        <v>1</v>
      </c>
      <c r="U183" s="47">
        <v>1</v>
      </c>
      <c r="V183" s="47">
        <v>1</v>
      </c>
      <c r="W183" s="47">
        <v>1</v>
      </c>
      <c r="X183" s="6" t="s">
        <v>102</v>
      </c>
      <c r="Y183" s="28">
        <v>1</v>
      </c>
      <c r="Z183" s="28">
        <v>1</v>
      </c>
      <c r="AA183" s="28">
        <v>1</v>
      </c>
      <c r="AB183" s="28">
        <v>1</v>
      </c>
    </row>
    <row r="184" spans="1:62" ht="15" customHeight="1">
      <c r="A184" s="346"/>
      <c r="B184" s="2" t="s">
        <v>169</v>
      </c>
      <c r="C184" s="35">
        <v>0</v>
      </c>
      <c r="E184" s="4" t="s">
        <v>82</v>
      </c>
      <c r="F184" s="46">
        <f>CS_6!B50</f>
        <v>1.0000000000000007E-4</v>
      </c>
      <c r="G184" s="4" t="s">
        <v>82</v>
      </c>
      <c r="H184" s="46">
        <f>CS_6!B57</f>
        <v>0</v>
      </c>
      <c r="X184" s="6"/>
    </row>
    <row r="185" spans="1:62" ht="30" customHeight="1">
      <c r="A185" s="346"/>
      <c r="B185" s="2" t="s">
        <v>402</v>
      </c>
      <c r="C185" s="35">
        <f>-(C13+C20+C53+C86+C119+C152)</f>
        <v>0</v>
      </c>
      <c r="D185" s="356" t="s">
        <v>413</v>
      </c>
      <c r="E185" s="347" t="s">
        <v>289</v>
      </c>
      <c r="F185" s="347"/>
      <c r="G185" s="336" t="s">
        <v>237</v>
      </c>
      <c r="H185" s="336"/>
      <c r="I185" s="347" t="s">
        <v>292</v>
      </c>
      <c r="J185" s="347"/>
      <c r="K185" s="347" t="s">
        <v>290</v>
      </c>
      <c r="L185" s="347"/>
      <c r="N185" s="33" t="s">
        <v>94</v>
      </c>
      <c r="O185" s="1"/>
      <c r="P185" s="65"/>
      <c r="Q185" s="1"/>
      <c r="R185" s="1"/>
      <c r="S185" s="33" t="s">
        <v>129</v>
      </c>
      <c r="X185" s="6"/>
      <c r="Y185" s="90" t="s">
        <v>282</v>
      </c>
    </row>
    <row r="186" spans="1:62" ht="15" customHeight="1">
      <c r="A186" s="346"/>
      <c r="B186" s="2" t="s">
        <v>403</v>
      </c>
      <c r="C186" s="35">
        <f t="shared" ref="C186:C187" si="43">-(C14+C21+C54+C87+C120+C153)</f>
        <v>0</v>
      </c>
      <c r="D186" s="356"/>
      <c r="E186" s="44" t="s">
        <v>79</v>
      </c>
      <c r="F186" s="47">
        <f>E202/IF(H186=0,1000000000000,H186)</f>
        <v>0</v>
      </c>
      <c r="G186" s="4" t="s">
        <v>111</v>
      </c>
      <c r="H186" s="28">
        <f>CS_6!B25</f>
        <v>327249.23474893678</v>
      </c>
      <c r="I186" s="4" t="s">
        <v>80</v>
      </c>
      <c r="J186" s="47">
        <f>A215*F229</f>
        <v>0</v>
      </c>
      <c r="K186" s="4" t="s">
        <v>80</v>
      </c>
      <c r="L186" s="131">
        <f t="array" ref="L186:L189">MMULT(MINVERSE(O198:R201),J186:J189)</f>
        <v>0</v>
      </c>
      <c r="O186" t="s">
        <v>83</v>
      </c>
      <c r="P186" s="7" t="s">
        <v>84</v>
      </c>
      <c r="Q186" s="25" t="s">
        <v>85</v>
      </c>
      <c r="R186" s="25" t="s">
        <v>86</v>
      </c>
      <c r="T186" t="s">
        <v>83</v>
      </c>
      <c r="U186" s="7" t="s">
        <v>84</v>
      </c>
      <c r="V186" s="25" t="s">
        <v>85</v>
      </c>
      <c r="W186" s="25" t="s">
        <v>86</v>
      </c>
      <c r="X186" s="6"/>
      <c r="Y186" t="s">
        <v>83</v>
      </c>
      <c r="Z186" s="7" t="s">
        <v>84</v>
      </c>
      <c r="AA186" s="25" t="s">
        <v>85</v>
      </c>
      <c r="AB186" s="25" t="s">
        <v>86</v>
      </c>
    </row>
    <row r="187" spans="1:62" ht="15" customHeight="1">
      <c r="A187" s="349" t="s">
        <v>419</v>
      </c>
      <c r="B187" s="2" t="s">
        <v>404</v>
      </c>
      <c r="C187" s="35">
        <f t="shared" si="43"/>
        <v>0</v>
      </c>
      <c r="D187" s="356"/>
      <c r="E187" s="44" t="s">
        <v>106</v>
      </c>
      <c r="F187" s="47">
        <f t="shared" ref="F187:F188" si="44">E203/IF(H187=0,1000000000000,H187)</f>
        <v>0</v>
      </c>
      <c r="G187" s="4" t="s">
        <v>112</v>
      </c>
      <c r="H187" s="28">
        <f>CS_6!B26</f>
        <v>2588000</v>
      </c>
      <c r="I187" s="4" t="s">
        <v>81</v>
      </c>
      <c r="J187" s="47">
        <f>A215*F230</f>
        <v>0</v>
      </c>
      <c r="K187" s="4" t="s">
        <v>81</v>
      </c>
      <c r="L187" s="131">
        <v>0</v>
      </c>
      <c r="N187" s="44" t="s">
        <v>79</v>
      </c>
      <c r="O187" s="48">
        <f>H179</f>
        <v>0</v>
      </c>
      <c r="P187" s="48">
        <f>H182*O194</f>
        <v>0</v>
      </c>
      <c r="Q187" s="48">
        <f>H183*P194</f>
        <v>0</v>
      </c>
      <c r="R187" s="48">
        <f>H184*Q194</f>
        <v>0</v>
      </c>
      <c r="S187" s="44" t="s">
        <v>79</v>
      </c>
      <c r="T187" s="48">
        <f t="array" ref="T187:T190">MMULT(T198:W201,O187:O190)</f>
        <v>0</v>
      </c>
      <c r="U187" s="48">
        <f t="array" ref="U187:U190">MMULT(T198:W201,P187:P190)</f>
        <v>0</v>
      </c>
      <c r="V187" s="48">
        <f t="array" ref="V187:V190">MMULT(T198:W201,Q187:Q190)</f>
        <v>0</v>
      </c>
      <c r="W187" s="48">
        <f t="array" ref="W187:W190">MMULT(T198:W201,R187:R190)</f>
        <v>0</v>
      </c>
      <c r="X187" s="68" t="s">
        <v>79</v>
      </c>
      <c r="Y187" s="28">
        <f t="array" ref="Y187:Y190">MMULT(T198:W201,Y180:Y183)</f>
        <v>-4.8315186206556423E-3</v>
      </c>
      <c r="Z187" s="28">
        <f t="array" ref="Z187:Z190">MMULT(T198:W201,Z180:Z183)</f>
        <v>0</v>
      </c>
      <c r="AA187" s="28">
        <f t="array" ref="AA187:AA190">MMULT(T198:W201,AA180:AA183)</f>
        <v>0</v>
      </c>
      <c r="AB187" s="28">
        <f t="array" ref="AB187:AB190">MMULT(T198:W201,AB180:AB183)</f>
        <v>0</v>
      </c>
    </row>
    <row r="188" spans="1:62" ht="15" customHeight="1">
      <c r="A188" s="350"/>
      <c r="B188" s="297" t="s">
        <v>391</v>
      </c>
      <c r="E188" s="44" t="s">
        <v>107</v>
      </c>
      <c r="F188" s="47">
        <f t="shared" si="44"/>
        <v>-7.0324574961360125E-4</v>
      </c>
      <c r="G188" s="4" t="s">
        <v>113</v>
      </c>
      <c r="H188" s="28">
        <f>CS_6!B27</f>
        <v>2588000</v>
      </c>
      <c r="I188" s="4" t="s">
        <v>82</v>
      </c>
      <c r="J188" s="47">
        <f>A215*F231</f>
        <v>0</v>
      </c>
      <c r="K188" s="4" t="s">
        <v>82</v>
      </c>
      <c r="L188" s="131">
        <v>0</v>
      </c>
      <c r="N188" s="44" t="s">
        <v>106</v>
      </c>
      <c r="O188" s="48">
        <f>H180</f>
        <v>0</v>
      </c>
      <c r="P188" s="48">
        <f>H182*O195</f>
        <v>0</v>
      </c>
      <c r="Q188" s="48">
        <f>H183*P195</f>
        <v>0</v>
      </c>
      <c r="R188" s="48">
        <f>H184*Q195</f>
        <v>0</v>
      </c>
      <c r="S188" s="44" t="s">
        <v>106</v>
      </c>
      <c r="T188" s="48">
        <v>0</v>
      </c>
      <c r="U188" s="48">
        <v>0</v>
      </c>
      <c r="V188" s="48">
        <v>0</v>
      </c>
      <c r="W188" s="48">
        <v>0</v>
      </c>
      <c r="X188" s="68" t="s">
        <v>106</v>
      </c>
      <c r="Y188" s="28">
        <v>-1.9930014310204525E-2</v>
      </c>
      <c r="Z188" s="28">
        <v>0</v>
      </c>
      <c r="AA188" s="28">
        <v>0</v>
      </c>
      <c r="AB188" s="28">
        <v>0</v>
      </c>
    </row>
    <row r="189" spans="1:62" ht="15" customHeight="1">
      <c r="A189" s="350"/>
      <c r="B189" s="12" t="s">
        <v>405</v>
      </c>
      <c r="C189" s="30">
        <f>AC198+C185</f>
        <v>0</v>
      </c>
      <c r="E189" s="4" t="s">
        <v>80</v>
      </c>
      <c r="F189" s="47">
        <f>E206/IF(H189=0,1000000000000,H189)+L186</f>
        <v>1.9201745613237566E-4</v>
      </c>
      <c r="G189" s="44" t="s">
        <v>8</v>
      </c>
      <c r="H189" s="28">
        <f>CS_6!B29</f>
        <v>6874375000</v>
      </c>
      <c r="I189" s="4" t="s">
        <v>291</v>
      </c>
      <c r="J189" s="28">
        <v>1</v>
      </c>
      <c r="K189" s="4" t="s">
        <v>291</v>
      </c>
      <c r="L189" s="131">
        <v>1</v>
      </c>
      <c r="N189" s="44" t="s">
        <v>107</v>
      </c>
      <c r="O189" s="48">
        <f>H181</f>
        <v>0</v>
      </c>
      <c r="P189" s="48">
        <f>H182*O196</f>
        <v>0</v>
      </c>
      <c r="Q189" s="48">
        <f>H183*P196</f>
        <v>0</v>
      </c>
      <c r="R189" s="48">
        <f>H184*Q196</f>
        <v>0</v>
      </c>
      <c r="S189" s="44" t="s">
        <v>107</v>
      </c>
      <c r="T189" s="48">
        <v>0</v>
      </c>
      <c r="U189" s="48">
        <v>0</v>
      </c>
      <c r="V189" s="48">
        <v>0</v>
      </c>
      <c r="W189" s="48">
        <v>0</v>
      </c>
      <c r="X189" s="68" t="s">
        <v>107</v>
      </c>
      <c r="Y189" s="28">
        <v>-1.180227379905364E-3</v>
      </c>
      <c r="Z189" s="28">
        <v>0</v>
      </c>
      <c r="AA189" s="28">
        <v>0</v>
      </c>
      <c r="AB189" s="28">
        <v>0</v>
      </c>
    </row>
    <row r="190" spans="1:62" ht="15" customHeight="1">
      <c r="A190" s="350"/>
      <c r="B190" s="12" t="s">
        <v>406</v>
      </c>
      <c r="C190" s="30">
        <f>AC199+C186</f>
        <v>0</v>
      </c>
      <c r="E190" s="4" t="s">
        <v>81</v>
      </c>
      <c r="F190" s="47">
        <f t="shared" ref="F190:F191" si="45">E207/IF(H190=0,1000000000000,H190)+L187</f>
        <v>4.8449673532473267E-5</v>
      </c>
      <c r="G190" s="44" t="s">
        <v>114</v>
      </c>
      <c r="H190" s="28">
        <f>CS_6!B30</f>
        <v>6604791666.666667</v>
      </c>
      <c r="N190" s="6" t="s">
        <v>102</v>
      </c>
      <c r="O190" s="28">
        <v>1</v>
      </c>
      <c r="P190" s="28">
        <v>1</v>
      </c>
      <c r="Q190" s="28">
        <v>1</v>
      </c>
      <c r="R190" s="28">
        <v>1</v>
      </c>
      <c r="S190" s="6" t="s">
        <v>102</v>
      </c>
      <c r="T190" s="28">
        <v>1</v>
      </c>
      <c r="U190" s="28">
        <v>1</v>
      </c>
      <c r="V190" s="28">
        <v>1</v>
      </c>
      <c r="W190" s="28">
        <v>1</v>
      </c>
      <c r="X190" s="6" t="s">
        <v>102</v>
      </c>
      <c r="Y190" s="28">
        <v>1</v>
      </c>
      <c r="Z190" s="28">
        <v>1</v>
      </c>
      <c r="AA190" s="28">
        <v>1</v>
      </c>
      <c r="AB190" s="28">
        <v>1</v>
      </c>
    </row>
    <row r="191" spans="1:62" ht="15" customHeight="1">
      <c r="A191" s="350"/>
      <c r="B191" s="12" t="s">
        <v>407</v>
      </c>
      <c r="C191" s="30">
        <f>AC200+C187</f>
        <v>0</v>
      </c>
      <c r="E191" s="4" t="s">
        <v>82</v>
      </c>
      <c r="F191" s="47">
        <f t="shared" si="45"/>
        <v>0</v>
      </c>
      <c r="G191" s="44" t="s">
        <v>110</v>
      </c>
      <c r="H191" s="28">
        <f>CS_6!B31</f>
        <v>6604791666.666667</v>
      </c>
      <c r="AB191" s="5"/>
      <c r="AU191" s="5" t="s">
        <v>67</v>
      </c>
      <c r="AZ191" s="5" t="s">
        <v>87</v>
      </c>
      <c r="BE191" s="5" t="s">
        <v>92</v>
      </c>
      <c r="BJ191" s="5" t="s">
        <v>92</v>
      </c>
    </row>
    <row r="192" spans="1:62" ht="34">
      <c r="A192" s="350"/>
      <c r="B192" s="67" t="s">
        <v>101</v>
      </c>
      <c r="E192" s="336" t="s">
        <v>280</v>
      </c>
      <c r="F192" s="352"/>
      <c r="G192" s="353" t="s">
        <v>279</v>
      </c>
      <c r="H192" s="354"/>
      <c r="I192" s="354"/>
      <c r="J192" s="354"/>
      <c r="K192" s="354"/>
      <c r="L192" s="355"/>
      <c r="M192" s="89" t="s">
        <v>281</v>
      </c>
      <c r="N192" s="82" t="s">
        <v>234</v>
      </c>
      <c r="AE192" s="43" t="s">
        <v>214</v>
      </c>
      <c r="AF192" s="295">
        <f>CS_6!B60</f>
        <v>1.0000000000000007E-4</v>
      </c>
      <c r="AG192" s="43"/>
      <c r="AH192" s="43"/>
      <c r="AI192" s="43"/>
      <c r="AJ192" s="43" t="s">
        <v>88</v>
      </c>
      <c r="AK192" s="296">
        <f>CS_6!B61</f>
        <v>9.9999999000000077E-5</v>
      </c>
      <c r="AL192" s="7"/>
      <c r="AM192" s="7"/>
      <c r="AN192" s="43"/>
      <c r="AO192" s="43" t="s">
        <v>213</v>
      </c>
      <c r="AP192" s="295">
        <f>CS_6!B62</f>
        <v>1.0000000000000007E-4</v>
      </c>
      <c r="AU192" s="7" t="s">
        <v>0</v>
      </c>
      <c r="AV192" s="7" t="s">
        <v>1</v>
      </c>
      <c r="AW192" s="7" t="s">
        <v>2</v>
      </c>
      <c r="AZ192" s="7" t="s">
        <v>0</v>
      </c>
      <c r="BA192" s="7" t="s">
        <v>1</v>
      </c>
      <c r="BB192" s="7" t="s">
        <v>2</v>
      </c>
      <c r="BE192" s="7" t="s">
        <v>0</v>
      </c>
      <c r="BF192" s="7" t="s">
        <v>1</v>
      </c>
      <c r="BG192" s="7" t="s">
        <v>2</v>
      </c>
    </row>
    <row r="193" spans="1:59" ht="15" customHeight="1">
      <c r="A193" s="350"/>
      <c r="B193" s="39" t="s">
        <v>95</v>
      </c>
      <c r="C193" s="41">
        <f t="array" ref="C193:C196">MMULT(O165:R168,E169:E172)</f>
        <v>0</v>
      </c>
      <c r="E193" s="44" t="s">
        <v>79</v>
      </c>
      <c r="F193" s="47">
        <f t="array" ref="F193:F198">MMULT(G193:L198,M193:M198)</f>
        <v>-4.8315186206556423E-3</v>
      </c>
      <c r="G193" s="124">
        <f>CS_6!G5</f>
        <v>7.0459646551228115E-6</v>
      </c>
      <c r="H193" s="124">
        <f>CS_6!H5</f>
        <v>0</v>
      </c>
      <c r="I193" s="124">
        <f>CS_6!I5</f>
        <v>0</v>
      </c>
      <c r="J193" s="124">
        <f>CS_6!J5</f>
        <v>0</v>
      </c>
      <c r="K193" s="124">
        <f>CS_6!K5</f>
        <v>-1.5098495689548882E-8</v>
      </c>
      <c r="L193" s="124">
        <f>CS_6!L5</f>
        <v>0</v>
      </c>
      <c r="M193" s="28">
        <f>C193</f>
        <v>0</v>
      </c>
      <c r="O193" s="7" t="s">
        <v>4</v>
      </c>
      <c r="P193" s="25" t="s">
        <v>5</v>
      </c>
      <c r="Q193" s="25" t="s">
        <v>6</v>
      </c>
      <c r="R193" s="25"/>
      <c r="S193" s="25"/>
      <c r="T193" s="25"/>
      <c r="U193" s="25"/>
      <c r="V193" s="25"/>
      <c r="W193" s="25"/>
      <c r="X193" s="25"/>
      <c r="Y193" s="25"/>
      <c r="Z193" s="25"/>
      <c r="AA193" s="25"/>
      <c r="AB193" t="s">
        <v>66</v>
      </c>
      <c r="AC193" s="28">
        <f>C178</f>
        <v>0</v>
      </c>
      <c r="AD193" s="28"/>
      <c r="AE193" s="76">
        <v>1</v>
      </c>
      <c r="AF193" s="47">
        <v>0</v>
      </c>
      <c r="AG193" s="47">
        <v>0</v>
      </c>
      <c r="AH193" s="77">
        <v>0</v>
      </c>
      <c r="AI193" s="78"/>
      <c r="AJ193" s="47">
        <f>COS(AK192)</f>
        <v>0.99999999500000014</v>
      </c>
      <c r="AK193" s="47">
        <v>0</v>
      </c>
      <c r="AL193" s="47">
        <f>-AJ195</f>
        <v>9.9999998833333415E-5</v>
      </c>
      <c r="AM193" s="47">
        <v>0</v>
      </c>
      <c r="AN193" s="78"/>
      <c r="AO193" s="47">
        <f>COS(AP192)</f>
        <v>0.99999999500000003</v>
      </c>
      <c r="AP193" s="47">
        <f>-AO194</f>
        <v>-9.9999999833333411E-5</v>
      </c>
      <c r="AQ193" s="47">
        <v>0</v>
      </c>
      <c r="AR193" s="47">
        <v>0</v>
      </c>
      <c r="AS193" s="78"/>
      <c r="AT193" s="28" t="s">
        <v>63</v>
      </c>
      <c r="AU193" s="47">
        <f t="array" ref="AU193:AU196">MMULT(AE193:AH196,$AC193:$AC196)</f>
        <v>0</v>
      </c>
      <c r="AV193" s="47">
        <f>AU193-$AC193</f>
        <v>0</v>
      </c>
      <c r="AW193" s="47">
        <f>AV193/AF192</f>
        <v>0</v>
      </c>
      <c r="AX193" s="78"/>
      <c r="AY193" s="28" t="s">
        <v>63</v>
      </c>
      <c r="AZ193" s="47">
        <f t="array" ref="AZ193:AZ196">MMULT(AJ193:AM196,$AC193:$AC196)</f>
        <v>0</v>
      </c>
      <c r="BA193" s="47">
        <f>AZ193-$AC193</f>
        <v>0</v>
      </c>
      <c r="BB193" s="47">
        <f>BA193/AK192</f>
        <v>0</v>
      </c>
      <c r="BC193" s="78"/>
      <c r="BD193" s="28" t="s">
        <v>63</v>
      </c>
      <c r="BE193" s="47">
        <f t="array" ref="BE193:BE196">MMULT(AO193:AR196,$AC193:$AC196)</f>
        <v>0</v>
      </c>
      <c r="BF193" s="47">
        <f>BE193-$AC193</f>
        <v>0</v>
      </c>
      <c r="BG193" s="47">
        <f>BF193/AP192</f>
        <v>0</v>
      </c>
    </row>
    <row r="194" spans="1:59" ht="17">
      <c r="A194" s="350"/>
      <c r="B194" s="39" t="s">
        <v>96</v>
      </c>
      <c r="C194" s="41">
        <v>0</v>
      </c>
      <c r="E194" s="44" t="s">
        <v>106</v>
      </c>
      <c r="F194" s="47">
        <v>-1.9930014310204525E-2</v>
      </c>
      <c r="G194" s="124">
        <f>CS_6!G6</f>
        <v>0</v>
      </c>
      <c r="H194" s="124">
        <f>CS_6!H6</f>
        <v>7.0459646551228115E-6</v>
      </c>
      <c r="I194" s="124">
        <f>CS_6!I6</f>
        <v>0</v>
      </c>
      <c r="J194" s="124">
        <f>CS_6!J6</f>
        <v>-1.5098495689548882E-8</v>
      </c>
      <c r="K194" s="124">
        <f>CS_6!K6</f>
        <v>0</v>
      </c>
      <c r="L194" s="124">
        <f>CS_6!L6</f>
        <v>0</v>
      </c>
      <c r="M194" s="28">
        <f t="shared" ref="M194:M195" si="46">C194</f>
        <v>0</v>
      </c>
      <c r="N194" s="44" t="s">
        <v>79</v>
      </c>
      <c r="O194" s="30">
        <f>AW193</f>
        <v>0</v>
      </c>
      <c r="P194" s="30">
        <f>BB193</f>
        <v>0</v>
      </c>
      <c r="Q194" s="30">
        <f>BG193</f>
        <v>0</v>
      </c>
      <c r="AB194" t="s">
        <v>71</v>
      </c>
      <c r="AC194" s="28">
        <f>C179</f>
        <v>0</v>
      </c>
      <c r="AD194" s="28"/>
      <c r="AE194" s="76">
        <v>0</v>
      </c>
      <c r="AF194" s="47">
        <f>COS(AF192)</f>
        <v>0.99999999500000003</v>
      </c>
      <c r="AG194" s="47">
        <f>-SIN(AF192)</f>
        <v>-9.9999999833333411E-5</v>
      </c>
      <c r="AH194" s="77">
        <v>0</v>
      </c>
      <c r="AI194" s="78"/>
      <c r="AJ194" s="47">
        <v>0</v>
      </c>
      <c r="AK194" s="47">
        <v>1</v>
      </c>
      <c r="AL194" s="47">
        <v>0</v>
      </c>
      <c r="AM194" s="47">
        <v>0</v>
      </c>
      <c r="AN194" s="78"/>
      <c r="AO194" s="47">
        <f>SIN(AP192)</f>
        <v>9.9999999833333411E-5</v>
      </c>
      <c r="AP194" s="47">
        <f>AO193</f>
        <v>0.99999999500000003</v>
      </c>
      <c r="AQ194" s="47">
        <v>0</v>
      </c>
      <c r="AR194" s="47">
        <v>0</v>
      </c>
      <c r="AS194" s="78"/>
      <c r="AT194" s="28" t="s">
        <v>64</v>
      </c>
      <c r="AU194" s="47">
        <v>0</v>
      </c>
      <c r="AV194" s="47">
        <f>AU194-$AC194</f>
        <v>0</v>
      </c>
      <c r="AW194" s="47">
        <f>AV194/AF192</f>
        <v>0</v>
      </c>
      <c r="AX194" s="78"/>
      <c r="AY194" s="28" t="s">
        <v>64</v>
      </c>
      <c r="AZ194" s="47">
        <v>0</v>
      </c>
      <c r="BA194" s="47">
        <f>AZ194-$AC194</f>
        <v>0</v>
      </c>
      <c r="BB194" s="47">
        <f>BA194/AK192</f>
        <v>0</v>
      </c>
      <c r="BC194" s="78"/>
      <c r="BD194" s="28" t="s">
        <v>64</v>
      </c>
      <c r="BE194" s="47">
        <v>0</v>
      </c>
      <c r="BF194" s="47">
        <f>BE194-$AC194</f>
        <v>0</v>
      </c>
      <c r="BG194" s="47">
        <f>BF194/AP192</f>
        <v>0</v>
      </c>
    </row>
    <row r="195" spans="1:59" ht="17">
      <c r="A195" s="350"/>
      <c r="B195" s="39" t="s">
        <v>97</v>
      </c>
      <c r="C195" s="41">
        <v>-1820</v>
      </c>
      <c r="E195" s="44" t="s">
        <v>107</v>
      </c>
      <c r="F195" s="47">
        <v>-4.769816302917627E-4</v>
      </c>
      <c r="G195" s="124">
        <f>CS_6!G7</f>
        <v>0</v>
      </c>
      <c r="H195" s="124">
        <f>CS_6!H7</f>
        <v>0</v>
      </c>
      <c r="I195" s="124">
        <f>CS_6!I7</f>
        <v>2.6207781884162787E-7</v>
      </c>
      <c r="J195" s="124">
        <f>CS_6!J7</f>
        <v>0</v>
      </c>
      <c r="K195" s="124">
        <f>CS_6!K7</f>
        <v>0</v>
      </c>
      <c r="L195" s="124">
        <f>CS_6!L7</f>
        <v>0</v>
      </c>
      <c r="M195" s="28">
        <f t="shared" si="46"/>
        <v>-1820</v>
      </c>
      <c r="N195" s="44" t="s">
        <v>106</v>
      </c>
      <c r="O195" s="30">
        <f t="shared" ref="O195:O196" si="47">AW194</f>
        <v>0</v>
      </c>
      <c r="P195" s="30">
        <f t="shared" ref="P195:P196" si="48">BB194</f>
        <v>0</v>
      </c>
      <c r="Q195" s="30">
        <f t="shared" ref="Q195:Q196" si="49">BG194</f>
        <v>0</v>
      </c>
      <c r="AB195" t="s">
        <v>72</v>
      </c>
      <c r="AC195" s="28">
        <f>C180</f>
        <v>0</v>
      </c>
      <c r="AD195" s="28"/>
      <c r="AE195" s="76">
        <v>0</v>
      </c>
      <c r="AF195" s="47">
        <f>-AG194</f>
        <v>9.9999999833333411E-5</v>
      </c>
      <c r="AG195" s="47">
        <f>AF194</f>
        <v>0.99999999500000003</v>
      </c>
      <c r="AH195" s="77">
        <v>0</v>
      </c>
      <c r="AI195" s="78"/>
      <c r="AJ195" s="47">
        <f>-SIN(AK192)</f>
        <v>-9.9999998833333415E-5</v>
      </c>
      <c r="AK195" s="47">
        <v>0</v>
      </c>
      <c r="AL195" s="47">
        <f>COS(AK192)</f>
        <v>0.99999999500000014</v>
      </c>
      <c r="AM195" s="47">
        <v>0</v>
      </c>
      <c r="AN195" s="78"/>
      <c r="AO195" s="47">
        <v>0</v>
      </c>
      <c r="AP195" s="47">
        <v>0</v>
      </c>
      <c r="AQ195" s="47">
        <v>1</v>
      </c>
      <c r="AR195" s="47">
        <v>0</v>
      </c>
      <c r="AS195" s="78"/>
      <c r="AT195" s="28" t="s">
        <v>65</v>
      </c>
      <c r="AU195" s="47">
        <v>0</v>
      </c>
      <c r="AV195" s="47">
        <f>AU195-$AC195</f>
        <v>0</v>
      </c>
      <c r="AW195" s="47">
        <f>AV195/AF192</f>
        <v>0</v>
      </c>
      <c r="AX195" s="78"/>
      <c r="AY195" s="28" t="s">
        <v>65</v>
      </c>
      <c r="AZ195" s="47">
        <v>0</v>
      </c>
      <c r="BA195" s="47">
        <f>AZ195-$AC195</f>
        <v>0</v>
      </c>
      <c r="BB195" s="47">
        <f>BA195/AK192</f>
        <v>0</v>
      </c>
      <c r="BC195" s="78"/>
      <c r="BD195" s="28" t="s">
        <v>65</v>
      </c>
      <c r="BE195" s="47">
        <v>0</v>
      </c>
      <c r="BF195" s="47">
        <f>BE195-$AC195</f>
        <v>0</v>
      </c>
      <c r="BG195" s="47">
        <f>BF195/AP192</f>
        <v>0</v>
      </c>
    </row>
    <row r="196" spans="1:59" ht="15" customHeight="1">
      <c r="A196" s="350"/>
      <c r="B196" s="39" t="s">
        <v>102</v>
      </c>
      <c r="C196" s="41">
        <v>1</v>
      </c>
      <c r="E196" s="4" t="s">
        <v>80</v>
      </c>
      <c r="F196" s="47">
        <v>3.5300277639892738E-7</v>
      </c>
      <c r="G196" s="124">
        <f>CS_6!G8</f>
        <v>0</v>
      </c>
      <c r="H196" s="124">
        <f>CS_6!H8</f>
        <v>-1.5098495689548882E-8</v>
      </c>
      <c r="I196" s="124">
        <f>CS_6!I8</f>
        <v>0</v>
      </c>
      <c r="J196" s="124">
        <f>CS_6!J8</f>
        <v>2.6742634575676315E-13</v>
      </c>
      <c r="K196" s="124">
        <f>CS_6!K8</f>
        <v>0</v>
      </c>
      <c r="L196" s="124">
        <f>CS_6!L8</f>
        <v>0</v>
      </c>
      <c r="M196" s="28">
        <f>C197</f>
        <v>1320000</v>
      </c>
      <c r="N196" s="44" t="s">
        <v>107</v>
      </c>
      <c r="O196" s="30">
        <f t="shared" si="47"/>
        <v>0</v>
      </c>
      <c r="P196" s="30">
        <f t="shared" si="48"/>
        <v>0</v>
      </c>
      <c r="Q196" s="30">
        <f t="shared" si="49"/>
        <v>0</v>
      </c>
      <c r="AC196" s="28">
        <v>1</v>
      </c>
      <c r="AD196" s="28"/>
      <c r="AE196" s="76">
        <v>0</v>
      </c>
      <c r="AF196" s="47">
        <v>0</v>
      </c>
      <c r="AG196" s="47">
        <v>0</v>
      </c>
      <c r="AH196" s="77">
        <v>1</v>
      </c>
      <c r="AI196" s="78"/>
      <c r="AJ196" s="47">
        <v>0</v>
      </c>
      <c r="AK196" s="47">
        <v>0</v>
      </c>
      <c r="AL196" s="47">
        <v>0</v>
      </c>
      <c r="AM196" s="47">
        <v>1</v>
      </c>
      <c r="AN196" s="78"/>
      <c r="AO196" s="47">
        <v>0</v>
      </c>
      <c r="AP196" s="47">
        <v>0</v>
      </c>
      <c r="AQ196" s="47">
        <v>0</v>
      </c>
      <c r="AR196" s="47">
        <v>1</v>
      </c>
      <c r="AS196" s="78"/>
      <c r="AT196" s="28"/>
      <c r="AU196" s="47">
        <v>1</v>
      </c>
      <c r="AV196" s="47"/>
      <c r="AW196" s="47"/>
      <c r="AX196" s="78"/>
      <c r="AY196" s="28"/>
      <c r="AZ196" s="47">
        <v>1</v>
      </c>
      <c r="BA196" s="47"/>
      <c r="BB196" s="47"/>
      <c r="BC196" s="78"/>
      <c r="BD196" s="28"/>
      <c r="BE196" s="47">
        <v>1</v>
      </c>
      <c r="BF196" s="47"/>
      <c r="BG196" s="47"/>
    </row>
    <row r="197" spans="1:59" ht="15" customHeight="1">
      <c r="A197" s="350"/>
      <c r="B197" s="39" t="s">
        <v>98</v>
      </c>
      <c r="C197" s="41">
        <f t="array" ref="C197:C200">MMULT(O165:R168,E173:E176)</f>
        <v>1320000</v>
      </c>
      <c r="E197" s="4" t="s">
        <v>81</v>
      </c>
      <c r="F197" s="47">
        <v>1.3804338916158979E-5</v>
      </c>
      <c r="G197" s="124">
        <f>CS_6!G9</f>
        <v>-1.5098495689548882E-8</v>
      </c>
      <c r="H197" s="124">
        <f>CS_6!H9</f>
        <v>0</v>
      </c>
      <c r="I197" s="124">
        <f>CS_6!I9</f>
        <v>0</v>
      </c>
      <c r="J197" s="124">
        <f>CS_6!J9</f>
        <v>0</v>
      </c>
      <c r="K197" s="124">
        <f>CS_6!K9</f>
        <v>4.3138559112996808E-11</v>
      </c>
      <c r="L197" s="124">
        <f>CS_6!L9</f>
        <v>0</v>
      </c>
      <c r="M197" s="28">
        <f>C198</f>
        <v>320000</v>
      </c>
      <c r="O197" s="3" t="s">
        <v>77</v>
      </c>
      <c r="T197" s="3" t="s">
        <v>78</v>
      </c>
      <c r="AE197" t="s">
        <v>90</v>
      </c>
      <c r="AJ197" t="s">
        <v>89</v>
      </c>
      <c r="AO197" t="s">
        <v>91</v>
      </c>
    </row>
    <row r="198" spans="1:59" ht="15" customHeight="1">
      <c r="A198" s="350"/>
      <c r="B198" s="39" t="s">
        <v>99</v>
      </c>
      <c r="C198" s="41">
        <v>320000</v>
      </c>
      <c r="E198" s="4" t="s">
        <v>82</v>
      </c>
      <c r="F198" s="47">
        <v>0</v>
      </c>
      <c r="G198" s="124">
        <f>CS_6!G10</f>
        <v>0</v>
      </c>
      <c r="H198" s="124">
        <f>CS_6!H10</f>
        <v>0</v>
      </c>
      <c r="I198" s="124">
        <f>CS_6!I10</f>
        <v>0</v>
      </c>
      <c r="J198" s="124">
        <f>CS_6!J10</f>
        <v>0</v>
      </c>
      <c r="K198" s="124">
        <f>CS_6!K10</f>
        <v>0</v>
      </c>
      <c r="L198" s="124">
        <f>CS_6!L10</f>
        <v>6.8693443257030413E-12</v>
      </c>
      <c r="M198" s="28">
        <f>C199</f>
        <v>0</v>
      </c>
      <c r="O198" s="30">
        <f t="array" ref="O198:R201">MMULT(AO198:AR201,MMULT(AJ198:AM201,AE198:AH201))</f>
        <v>1</v>
      </c>
      <c r="P198" s="30">
        <v>0</v>
      </c>
      <c r="Q198" s="30">
        <v>0</v>
      </c>
      <c r="R198" s="30">
        <v>0</v>
      </c>
      <c r="S198" s="11"/>
      <c r="T198" s="30">
        <f t="array" ref="T198:W201">IF(A219=1,MMULT(T231:W234,O198:R201),T$363:W$366)</f>
        <v>1</v>
      </c>
      <c r="U198" s="30">
        <v>0</v>
      </c>
      <c r="V198" s="30">
        <v>0</v>
      </c>
      <c r="W198" s="30">
        <v>0</v>
      </c>
      <c r="X198" s="30"/>
      <c r="Y198" s="30"/>
      <c r="Z198" s="30"/>
      <c r="AA198" s="30"/>
      <c r="AB198" t="s">
        <v>68</v>
      </c>
      <c r="AC198" s="28">
        <f t="array" ref="AC198:AC201">MMULT(O198:R201,AC193:AC196)</f>
        <v>0</v>
      </c>
      <c r="AD198" s="28"/>
      <c r="AE198" s="27">
        <v>1</v>
      </c>
      <c r="AF198" s="28">
        <v>0</v>
      </c>
      <c r="AG198" s="28">
        <v>0</v>
      </c>
      <c r="AH198" s="29">
        <v>0</v>
      </c>
      <c r="AJ198" s="27">
        <f>COS(PI()*C183/180)</f>
        <v>1</v>
      </c>
      <c r="AK198" s="28">
        <v>0</v>
      </c>
      <c r="AL198" s="28">
        <f>SIN(PI()*C183/180)</f>
        <v>0</v>
      </c>
      <c r="AM198" s="29">
        <v>0</v>
      </c>
      <c r="AO198" s="27">
        <f>COS(PI()*C184/180)</f>
        <v>1</v>
      </c>
      <c r="AP198" s="28">
        <f>-SIN(PI()*C184/180)</f>
        <v>0</v>
      </c>
      <c r="AQ198" s="28">
        <v>0</v>
      </c>
      <c r="AR198" s="29">
        <v>0</v>
      </c>
    </row>
    <row r="199" spans="1:59" ht="15" customHeight="1">
      <c r="A199" s="350"/>
      <c r="B199" s="39" t="s">
        <v>100</v>
      </c>
      <c r="C199" s="41">
        <v>0</v>
      </c>
      <c r="G199" s="105"/>
      <c r="H199" s="105"/>
      <c r="I199" s="105"/>
      <c r="J199" s="117"/>
      <c r="K199" s="117"/>
      <c r="L199" s="117"/>
      <c r="M199" s="117"/>
      <c r="O199" s="30">
        <v>0</v>
      </c>
      <c r="P199" s="30">
        <v>1</v>
      </c>
      <c r="Q199" s="30">
        <v>0</v>
      </c>
      <c r="R199" s="30">
        <v>0</v>
      </c>
      <c r="S199" s="11"/>
      <c r="T199" s="30">
        <v>0</v>
      </c>
      <c r="U199" s="30">
        <v>1</v>
      </c>
      <c r="V199" s="30">
        <v>0</v>
      </c>
      <c r="W199" s="30">
        <v>0</v>
      </c>
      <c r="X199" s="30"/>
      <c r="Y199" s="30"/>
      <c r="Z199" s="30"/>
      <c r="AA199" s="30"/>
      <c r="AB199" t="s">
        <v>69</v>
      </c>
      <c r="AC199" s="28">
        <v>0</v>
      </c>
      <c r="AD199" s="28"/>
      <c r="AE199" s="27">
        <v>0</v>
      </c>
      <c r="AF199" s="28">
        <f>COS(PI()*C182/180)</f>
        <v>1</v>
      </c>
      <c r="AG199" s="28">
        <f>-SIN(PI()*C182/180)</f>
        <v>0</v>
      </c>
      <c r="AH199" s="29">
        <v>0</v>
      </c>
      <c r="AJ199" s="27">
        <v>0</v>
      </c>
      <c r="AK199" s="28">
        <v>1</v>
      </c>
      <c r="AL199" s="28">
        <v>0</v>
      </c>
      <c r="AM199" s="29">
        <v>0</v>
      </c>
      <c r="AO199" s="27">
        <f>SIN(PI()*C184/180)</f>
        <v>0</v>
      </c>
      <c r="AP199" s="28">
        <f>AO198</f>
        <v>1</v>
      </c>
      <c r="AQ199" s="28">
        <v>0</v>
      </c>
      <c r="AR199" s="29">
        <v>0</v>
      </c>
    </row>
    <row r="200" spans="1:59" ht="15" customHeight="1">
      <c r="A200" s="350"/>
      <c r="B200" s="39" t="s">
        <v>102</v>
      </c>
      <c r="C200" s="41">
        <v>1</v>
      </c>
      <c r="G200" s="105"/>
      <c r="H200" s="105"/>
      <c r="I200" s="105"/>
      <c r="J200" s="117"/>
      <c r="K200" s="117"/>
      <c r="L200" s="117"/>
      <c r="M200" s="117"/>
      <c r="O200" s="30">
        <v>0</v>
      </c>
      <c r="P200" s="30">
        <v>0</v>
      </c>
      <c r="Q200" s="30">
        <v>1</v>
      </c>
      <c r="R200" s="30">
        <v>0</v>
      </c>
      <c r="S200" s="11"/>
      <c r="T200" s="30">
        <v>0</v>
      </c>
      <c r="U200" s="30">
        <v>0</v>
      </c>
      <c r="V200" s="30">
        <v>1</v>
      </c>
      <c r="W200" s="30">
        <v>0</v>
      </c>
      <c r="X200" s="30"/>
      <c r="Y200" s="30"/>
      <c r="Z200" s="30"/>
      <c r="AA200" s="30"/>
      <c r="AB200" t="s">
        <v>70</v>
      </c>
      <c r="AC200" s="28">
        <v>0</v>
      </c>
      <c r="AD200" s="28"/>
      <c r="AE200" s="27">
        <v>0</v>
      </c>
      <c r="AF200" s="28">
        <f>SIN(PI()*C182/180)</f>
        <v>0</v>
      </c>
      <c r="AG200" s="28">
        <f>AF199</f>
        <v>1</v>
      </c>
      <c r="AH200" s="29">
        <v>0</v>
      </c>
      <c r="AJ200" s="27">
        <f>-SIN(PI()*C183/180)</f>
        <v>0</v>
      </c>
      <c r="AK200" s="28">
        <v>0</v>
      </c>
      <c r="AL200" s="28">
        <f>AJ198</f>
        <v>1</v>
      </c>
      <c r="AM200" s="29">
        <v>0</v>
      </c>
      <c r="AO200" s="27">
        <v>0</v>
      </c>
      <c r="AP200" s="28">
        <v>0</v>
      </c>
      <c r="AQ200" s="28">
        <v>1</v>
      </c>
      <c r="AR200" s="29">
        <v>0</v>
      </c>
    </row>
    <row r="201" spans="1:59" s="114" customFormat="1">
      <c r="A201" s="350"/>
      <c r="B201" s="75" t="s">
        <v>173</v>
      </c>
      <c r="C201"/>
      <c r="D201" s="87" t="s">
        <v>232</v>
      </c>
      <c r="E201"/>
      <c r="G201" s="119"/>
      <c r="H201" s="119"/>
      <c r="I201" s="119"/>
      <c r="J201" s="126"/>
      <c r="K201" s="126"/>
      <c r="L201" s="126"/>
      <c r="M201" s="126"/>
      <c r="O201" s="115">
        <v>0</v>
      </c>
      <c r="P201" s="115">
        <v>0</v>
      </c>
      <c r="Q201" s="115">
        <v>0</v>
      </c>
      <c r="R201" s="115">
        <v>1</v>
      </c>
      <c r="S201" s="116"/>
      <c r="T201" s="115">
        <v>0</v>
      </c>
      <c r="U201" s="115">
        <v>0</v>
      </c>
      <c r="V201" s="115">
        <v>0</v>
      </c>
      <c r="W201" s="115">
        <v>1</v>
      </c>
      <c r="X201" s="115"/>
      <c r="Y201" s="115"/>
      <c r="Z201" s="115"/>
      <c r="AA201" s="115"/>
      <c r="AC201" s="31">
        <v>1</v>
      </c>
      <c r="AD201" s="31"/>
      <c r="AE201" s="31">
        <v>0</v>
      </c>
      <c r="AF201" s="31">
        <v>0</v>
      </c>
      <c r="AG201" s="31">
        <v>0</v>
      </c>
      <c r="AH201" s="31">
        <v>1</v>
      </c>
      <c r="AJ201" s="31">
        <v>0</v>
      </c>
      <c r="AK201" s="31">
        <v>0</v>
      </c>
      <c r="AL201" s="31">
        <v>0</v>
      </c>
      <c r="AM201" s="31">
        <v>1</v>
      </c>
      <c r="AO201" s="31">
        <v>0</v>
      </c>
      <c r="AP201" s="31">
        <v>0</v>
      </c>
      <c r="AQ201" s="31">
        <v>0</v>
      </c>
      <c r="AR201" s="31">
        <v>1</v>
      </c>
    </row>
    <row r="202" spans="1:59" s="114" customFormat="1" ht="17">
      <c r="A202" s="350"/>
      <c r="B202" s="39" t="s">
        <v>95</v>
      </c>
      <c r="C202" s="40">
        <v>0</v>
      </c>
      <c r="D202" s="39" t="s">
        <v>95</v>
      </c>
      <c r="E202" s="41">
        <f>C193+C202</f>
        <v>0</v>
      </c>
      <c r="F202" s="122"/>
      <c r="G202" s="126"/>
      <c r="H202" s="129"/>
      <c r="I202" s="126"/>
      <c r="J202" s="126"/>
      <c r="K202" s="126"/>
      <c r="L202" s="126"/>
      <c r="M202" s="126"/>
      <c r="O202" s="115"/>
      <c r="P202" s="115"/>
      <c r="Q202" s="115"/>
      <c r="R202" s="115"/>
      <c r="S202" s="116"/>
      <c r="T202" s="115"/>
      <c r="U202" s="115"/>
      <c r="V202" s="115"/>
      <c r="W202" s="115"/>
      <c r="X202" s="115"/>
      <c r="Y202" s="115"/>
      <c r="Z202" s="115"/>
      <c r="AA202" s="115"/>
      <c r="AC202" s="31"/>
      <c r="AD202" s="31"/>
      <c r="AE202" s="31"/>
      <c r="AF202" s="31"/>
      <c r="AG202" s="31"/>
      <c r="AH202" s="31"/>
      <c r="AJ202" s="31"/>
      <c r="AK202" s="31"/>
      <c r="AL202" s="31"/>
      <c r="AM202" s="31"/>
      <c r="AO202" s="31"/>
      <c r="AP202" s="31"/>
      <c r="AQ202" s="31"/>
      <c r="AR202" s="31"/>
    </row>
    <row r="203" spans="1:59" s="114" customFormat="1" ht="17">
      <c r="A203" s="350"/>
      <c r="B203" s="39" t="s">
        <v>96</v>
      </c>
      <c r="C203" s="40">
        <v>0</v>
      </c>
      <c r="D203" s="39" t="s">
        <v>96</v>
      </c>
      <c r="E203" s="41">
        <f>C194+C203</f>
        <v>0</v>
      </c>
      <c r="F203" s="122"/>
      <c r="G203" s="126"/>
      <c r="H203" s="129"/>
      <c r="I203" s="126"/>
      <c r="J203" s="126"/>
      <c r="K203" s="126"/>
      <c r="L203" s="126"/>
      <c r="M203" s="126"/>
      <c r="O203" s="115"/>
      <c r="P203" s="115"/>
      <c r="Q203" s="115"/>
      <c r="R203" s="115"/>
      <c r="S203" s="116"/>
      <c r="T203" s="115"/>
      <c r="U203" s="115"/>
      <c r="V203" s="115"/>
      <c r="W203" s="115"/>
      <c r="X203" s="115"/>
      <c r="Y203" s="115"/>
      <c r="Z203" s="115"/>
      <c r="AA203" s="115"/>
      <c r="AC203" s="31"/>
      <c r="AD203" s="31"/>
      <c r="AE203" s="31"/>
      <c r="AF203" s="31"/>
      <c r="AG203" s="31"/>
      <c r="AH203" s="31"/>
      <c r="AJ203" s="31"/>
      <c r="AK203" s="31"/>
      <c r="AL203" s="31"/>
      <c r="AM203" s="31"/>
      <c r="AO203" s="31"/>
      <c r="AP203" s="31"/>
      <c r="AQ203" s="31"/>
      <c r="AR203" s="31"/>
    </row>
    <row r="204" spans="1:59" s="114" customFormat="1" ht="17">
      <c r="A204" s="350"/>
      <c r="B204" s="39" t="s">
        <v>97</v>
      </c>
      <c r="C204" s="40">
        <v>0</v>
      </c>
      <c r="D204" s="39" t="s">
        <v>97</v>
      </c>
      <c r="E204" s="41">
        <f>C195+C204</f>
        <v>-1820</v>
      </c>
      <c r="F204" s="122"/>
      <c r="G204" s="126"/>
      <c r="H204" s="129"/>
      <c r="I204" s="126"/>
      <c r="J204" s="126"/>
      <c r="K204" s="126"/>
      <c r="L204" s="126"/>
      <c r="M204" s="126"/>
      <c r="O204" s="115"/>
      <c r="P204" s="115"/>
      <c r="Q204" s="115"/>
      <c r="R204" s="115"/>
      <c r="S204" s="116"/>
      <c r="T204" s="115"/>
      <c r="U204" s="115"/>
      <c r="V204" s="115"/>
      <c r="W204" s="115"/>
      <c r="X204" s="115"/>
      <c r="Y204" s="115"/>
      <c r="Z204" s="115"/>
      <c r="AA204" s="115"/>
      <c r="AC204" s="31"/>
      <c r="AD204" s="31"/>
      <c r="AE204" s="31"/>
      <c r="AF204" s="31"/>
      <c r="AG204" s="31"/>
      <c r="AH204" s="31"/>
      <c r="AJ204" s="31"/>
      <c r="AK204" s="31"/>
      <c r="AL204" s="31"/>
      <c r="AM204" s="31"/>
      <c r="AO204" s="31"/>
      <c r="AP204" s="31"/>
      <c r="AQ204" s="31"/>
      <c r="AR204" s="31"/>
    </row>
    <row r="205" spans="1:59" s="114" customFormat="1" ht="17">
      <c r="A205" s="350"/>
      <c r="B205" s="122" t="s">
        <v>102</v>
      </c>
      <c r="C205" s="123">
        <v>1</v>
      </c>
      <c r="D205" s="122" t="s">
        <v>102</v>
      </c>
      <c r="E205" s="123">
        <v>1</v>
      </c>
      <c r="F205" s="122"/>
      <c r="G205" s="126"/>
      <c r="H205" s="129"/>
      <c r="I205" s="126"/>
      <c r="J205" s="126"/>
      <c r="K205" s="126"/>
      <c r="L205" s="126"/>
      <c r="M205" s="126"/>
      <c r="O205" s="115"/>
      <c r="P205" s="115"/>
      <c r="Q205" s="115"/>
      <c r="R205" s="115"/>
      <c r="S205" s="116"/>
      <c r="T205" s="115"/>
      <c r="U205" s="115"/>
      <c r="V205" s="115"/>
      <c r="W205" s="115"/>
      <c r="X205" s="115"/>
      <c r="Y205" s="115"/>
      <c r="Z205" s="115"/>
      <c r="AA205" s="115"/>
      <c r="AC205" s="31"/>
      <c r="AD205" s="31"/>
      <c r="AE205" s="31"/>
      <c r="AF205" s="31"/>
      <c r="AG205" s="31"/>
      <c r="AH205" s="31"/>
      <c r="AJ205" s="31"/>
      <c r="AK205" s="31"/>
      <c r="AL205" s="31"/>
      <c r="AM205" s="31"/>
      <c r="AO205" s="31"/>
      <c r="AP205" s="31"/>
      <c r="AQ205" s="31"/>
      <c r="AR205" s="31"/>
    </row>
    <row r="206" spans="1:59" s="114" customFormat="1" ht="17">
      <c r="A206" s="350"/>
      <c r="B206" s="39" t="s">
        <v>98</v>
      </c>
      <c r="C206" s="40">
        <v>0</v>
      </c>
      <c r="D206" s="39" t="s">
        <v>98</v>
      </c>
      <c r="E206" s="41">
        <f>C197+C206+C195*C153-C194*C154</f>
        <v>1320000</v>
      </c>
      <c r="F206" s="122"/>
      <c r="G206" s="126"/>
      <c r="H206" s="129"/>
      <c r="I206" s="126"/>
      <c r="J206" s="126"/>
      <c r="K206" s="126"/>
      <c r="L206" s="126"/>
      <c r="M206" s="126"/>
      <c r="O206" s="115"/>
      <c r="P206" s="115"/>
      <c r="Q206" s="115"/>
      <c r="R206" s="115"/>
      <c r="S206" s="116"/>
      <c r="T206" s="115"/>
      <c r="U206" s="115"/>
      <c r="V206" s="115"/>
      <c r="W206" s="115"/>
      <c r="X206" s="115"/>
      <c r="Y206" s="115"/>
      <c r="Z206" s="115"/>
      <c r="AA206" s="115"/>
      <c r="AC206" s="31"/>
      <c r="AD206" s="31"/>
      <c r="AE206" s="31"/>
      <c r="AF206" s="31"/>
      <c r="AG206" s="31"/>
      <c r="AH206" s="31"/>
      <c r="AJ206" s="31"/>
      <c r="AK206" s="31"/>
      <c r="AL206" s="31"/>
      <c r="AM206" s="31"/>
      <c r="AO206" s="31"/>
      <c r="AP206" s="31"/>
      <c r="AQ206" s="31"/>
      <c r="AR206" s="31"/>
    </row>
    <row r="207" spans="1:59" s="114" customFormat="1" ht="17">
      <c r="A207" s="350"/>
      <c r="B207" s="39" t="s">
        <v>99</v>
      </c>
      <c r="C207" s="40">
        <v>0</v>
      </c>
      <c r="D207" s="39" t="s">
        <v>99</v>
      </c>
      <c r="E207" s="41">
        <f>C198+C207+C193*C154-C195*C152</f>
        <v>320000</v>
      </c>
      <c r="F207" s="122"/>
      <c r="G207" s="126"/>
      <c r="H207" s="129"/>
      <c r="I207" s="126"/>
      <c r="J207" s="126"/>
      <c r="K207" s="126"/>
      <c r="L207" s="126"/>
      <c r="M207" s="126"/>
      <c r="O207" s="115"/>
      <c r="P207" s="115"/>
      <c r="Q207" s="115"/>
      <c r="R207" s="115"/>
      <c r="S207" s="116"/>
      <c r="T207" s="115"/>
      <c r="U207" s="115"/>
      <c r="V207" s="115"/>
      <c r="W207" s="115"/>
      <c r="X207" s="115"/>
      <c r="Y207" s="115"/>
      <c r="Z207" s="115"/>
      <c r="AA207" s="115"/>
      <c r="AC207" s="31"/>
      <c r="AD207" s="31"/>
      <c r="AE207" s="31"/>
      <c r="AF207" s="31"/>
      <c r="AG207" s="31"/>
      <c r="AH207" s="31"/>
      <c r="AJ207" s="31"/>
      <c r="AK207" s="31"/>
      <c r="AL207" s="31"/>
      <c r="AM207" s="31"/>
      <c r="AO207" s="31"/>
      <c r="AP207" s="31"/>
      <c r="AQ207" s="31"/>
      <c r="AR207" s="31"/>
    </row>
    <row r="208" spans="1:59" s="114" customFormat="1" ht="17">
      <c r="A208" s="350"/>
      <c r="B208" s="39" t="s">
        <v>100</v>
      </c>
      <c r="C208" s="40">
        <v>0</v>
      </c>
      <c r="D208" s="39" t="s">
        <v>100</v>
      </c>
      <c r="E208" s="41">
        <f>C199+C208+C194*C152-C193*C153</f>
        <v>0</v>
      </c>
      <c r="F208" s="122"/>
      <c r="G208" s="126"/>
      <c r="H208" s="129"/>
      <c r="I208" s="126"/>
      <c r="J208" s="126"/>
      <c r="K208" s="126"/>
      <c r="L208" s="126"/>
      <c r="M208" s="126"/>
      <c r="O208" s="115"/>
      <c r="P208" s="115"/>
      <c r="Q208" s="115"/>
      <c r="R208" s="115"/>
      <c r="S208" s="116"/>
      <c r="T208" s="115"/>
      <c r="U208" s="115"/>
      <c r="V208" s="115"/>
      <c r="W208" s="115"/>
      <c r="X208" s="115"/>
      <c r="Y208" s="115"/>
      <c r="Z208" s="115"/>
      <c r="AA208" s="115"/>
      <c r="AC208" s="31"/>
      <c r="AD208" s="31"/>
      <c r="AE208" s="31"/>
      <c r="AF208" s="31"/>
      <c r="AG208" s="31"/>
      <c r="AH208" s="31"/>
      <c r="AJ208" s="31"/>
      <c r="AK208" s="31"/>
      <c r="AL208" s="31"/>
      <c r="AM208" s="31"/>
      <c r="AO208" s="31"/>
      <c r="AP208" s="31"/>
      <c r="AQ208" s="31"/>
      <c r="AR208" s="31"/>
    </row>
    <row r="209" spans="1:62" s="50" customFormat="1" ht="18" thickBot="1">
      <c r="A209" s="351"/>
      <c r="B209" s="55" t="s">
        <v>102</v>
      </c>
      <c r="C209" s="56">
        <v>1</v>
      </c>
      <c r="D209" s="55" t="s">
        <v>102</v>
      </c>
      <c r="E209" s="56">
        <v>1</v>
      </c>
      <c r="F209" s="55"/>
      <c r="G209" s="127"/>
      <c r="H209" s="130"/>
      <c r="I209" s="127"/>
      <c r="J209" s="127"/>
      <c r="K209" s="127"/>
      <c r="L209" s="127"/>
      <c r="M209" s="127"/>
      <c r="O209" s="51"/>
      <c r="P209" s="51"/>
      <c r="Q209" s="51"/>
      <c r="R209" s="51"/>
      <c r="S209" s="52"/>
      <c r="T209" s="51"/>
      <c r="U209" s="51"/>
      <c r="V209" s="51"/>
      <c r="W209" s="51"/>
      <c r="X209" s="51"/>
      <c r="Y209" s="51"/>
      <c r="Z209" s="51"/>
      <c r="AA209" s="51"/>
      <c r="AC209" s="53"/>
      <c r="AD209" s="53"/>
      <c r="AE209" s="53"/>
      <c r="AF209" s="53"/>
      <c r="AG209" s="53"/>
      <c r="AH209" s="53"/>
      <c r="AJ209" s="53"/>
      <c r="AK209" s="53"/>
      <c r="AL209" s="53"/>
      <c r="AM209" s="53"/>
      <c r="AO209" s="53"/>
      <c r="AP209" s="53"/>
      <c r="AQ209" s="53"/>
      <c r="AR209" s="53"/>
    </row>
    <row r="210" spans="1:62" ht="15" customHeight="1">
      <c r="A210" s="348" t="s">
        <v>313</v>
      </c>
      <c r="B210" s="66" t="s">
        <v>236</v>
      </c>
      <c r="E210" s="1" t="s">
        <v>138</v>
      </c>
    </row>
    <row r="211" spans="1:62" ht="15" customHeight="1">
      <c r="A211" s="348"/>
      <c r="B211" s="12" t="s">
        <v>73</v>
      </c>
      <c r="C211" s="54">
        <f>C189</f>
        <v>0</v>
      </c>
      <c r="E211" s="336" t="s">
        <v>130</v>
      </c>
      <c r="F211" s="336"/>
      <c r="G211" s="336" t="s">
        <v>131</v>
      </c>
      <c r="H211" s="336"/>
      <c r="N211" s="33" t="s">
        <v>93</v>
      </c>
      <c r="O211" s="1"/>
      <c r="P211" s="65"/>
      <c r="Q211" s="1"/>
      <c r="R211" s="1"/>
      <c r="S211" s="33" t="s">
        <v>128</v>
      </c>
      <c r="Y211" s="90" t="s">
        <v>283</v>
      </c>
    </row>
    <row r="212" spans="1:62" ht="15" customHeight="1">
      <c r="A212" s="348"/>
      <c r="B212" s="12" t="s">
        <v>74</v>
      </c>
      <c r="C212" s="54">
        <f>C190</f>
        <v>0</v>
      </c>
      <c r="E212" s="44" t="s">
        <v>79</v>
      </c>
      <c r="F212" s="46">
        <f>CS_7!B45</f>
        <v>5.0000000000000001E-3</v>
      </c>
      <c r="G212" s="44" t="s">
        <v>79</v>
      </c>
      <c r="H212" s="46">
        <f>CS_7!B52</f>
        <v>0</v>
      </c>
      <c r="O212" t="s">
        <v>83</v>
      </c>
      <c r="P212" s="7" t="s">
        <v>84</v>
      </c>
      <c r="Q212" s="25" t="s">
        <v>85</v>
      </c>
      <c r="R212" s="25" t="s">
        <v>86</v>
      </c>
      <c r="T212" t="s">
        <v>83</v>
      </c>
      <c r="U212" s="7" t="s">
        <v>84</v>
      </c>
      <c r="V212" s="25" t="s">
        <v>85</v>
      </c>
      <c r="W212" s="25" t="s">
        <v>86</v>
      </c>
      <c r="Y212" t="s">
        <v>83</v>
      </c>
      <c r="Z212" s="7" t="s">
        <v>84</v>
      </c>
      <c r="AA212" s="25" t="s">
        <v>85</v>
      </c>
      <c r="AB212" s="25" t="s">
        <v>86</v>
      </c>
    </row>
    <row r="213" spans="1:62" ht="15" customHeight="1">
      <c r="A213" s="348"/>
      <c r="B213" s="12" t="s">
        <v>75</v>
      </c>
      <c r="C213" s="54">
        <f>C191</f>
        <v>0</v>
      </c>
      <c r="E213" s="44" t="s">
        <v>106</v>
      </c>
      <c r="F213" s="46">
        <f>CS_7!B46</f>
        <v>5.0000000000000001E-3</v>
      </c>
      <c r="G213" s="44" t="s">
        <v>106</v>
      </c>
      <c r="H213" s="46">
        <f>CS_7!B53</f>
        <v>0</v>
      </c>
      <c r="N213" s="44" t="s">
        <v>79</v>
      </c>
      <c r="O213" s="48">
        <f>ABS(F212)</f>
        <v>5.0000000000000001E-3</v>
      </c>
      <c r="P213" s="48">
        <f>ABS(F215*O227)</f>
        <v>0</v>
      </c>
      <c r="Q213" s="48">
        <f>ABS(F216*P227)</f>
        <v>0</v>
      </c>
      <c r="R213" s="48">
        <f>ABS(F217*Q227)</f>
        <v>0</v>
      </c>
      <c r="S213" s="44" t="s">
        <v>79</v>
      </c>
      <c r="T213" s="47">
        <f t="array" ref="T213:W216">ABS(MMULT(T231:W234,O213:R216))</f>
        <v>5.0000000000000001E-3</v>
      </c>
      <c r="U213" s="47">
        <v>0</v>
      </c>
      <c r="V213" s="47">
        <v>0</v>
      </c>
      <c r="W213" s="47">
        <v>0</v>
      </c>
      <c r="X213" s="68" t="s">
        <v>79</v>
      </c>
      <c r="Y213" s="47">
        <f>F219+F226</f>
        <v>0</v>
      </c>
      <c r="Z213" s="28">
        <f>F222*O227</f>
        <v>0</v>
      </c>
      <c r="AA213" s="28">
        <f>F223*P227</f>
        <v>0</v>
      </c>
      <c r="AB213" s="28">
        <f>F224*Q227</f>
        <v>0</v>
      </c>
    </row>
    <row r="214" spans="1:62" ht="15" customHeight="1">
      <c r="A214" s="58">
        <v>7</v>
      </c>
      <c r="B214" s="1" t="s">
        <v>76</v>
      </c>
      <c r="E214" s="44" t="s">
        <v>107</v>
      </c>
      <c r="F214" s="46">
        <f>CS_7!B47</f>
        <v>5.0000000000000001E-3</v>
      </c>
      <c r="G214" s="44" t="s">
        <v>107</v>
      </c>
      <c r="H214" s="46">
        <f>CS_7!B54</f>
        <v>0</v>
      </c>
      <c r="N214" s="44" t="s">
        <v>106</v>
      </c>
      <c r="O214" s="48">
        <f t="shared" ref="O214:O215" si="50">ABS(F213)</f>
        <v>5.0000000000000001E-3</v>
      </c>
      <c r="P214" s="48">
        <f>ABS(F215*O228)</f>
        <v>0</v>
      </c>
      <c r="Q214" s="48">
        <f>ABS(F216*P228)</f>
        <v>0</v>
      </c>
      <c r="R214" s="48">
        <f>ABS(F217*Q228)</f>
        <v>0</v>
      </c>
      <c r="S214" s="44" t="s">
        <v>106</v>
      </c>
      <c r="T214" s="47">
        <v>5.0000000000000001E-3</v>
      </c>
      <c r="U214" s="47">
        <v>0</v>
      </c>
      <c r="V214" s="47">
        <v>0</v>
      </c>
      <c r="W214" s="47">
        <v>0</v>
      </c>
      <c r="X214" s="68" t="s">
        <v>106</v>
      </c>
      <c r="Y214" s="47">
        <f t="shared" ref="Y214:Y215" si="51">F220+F227</f>
        <v>0</v>
      </c>
      <c r="Z214" s="28">
        <f>F222*O228</f>
        <v>0</v>
      </c>
      <c r="AA214" s="28">
        <f>F223*P228</f>
        <v>0</v>
      </c>
      <c r="AB214" s="28">
        <f>F224*Q228</f>
        <v>0</v>
      </c>
    </row>
    <row r="215" spans="1:62" ht="15" customHeight="1">
      <c r="A215" s="41">
        <f>IF(A214&gt;Naxes,0,1)</f>
        <v>0</v>
      </c>
      <c r="B215" s="2" t="s">
        <v>168</v>
      </c>
      <c r="C215" s="35">
        <v>0</v>
      </c>
      <c r="E215" s="4" t="s">
        <v>80</v>
      </c>
      <c r="F215" s="46">
        <f>CS_7!B48</f>
        <v>5.0000000000000009E-5</v>
      </c>
      <c r="G215" s="4" t="s">
        <v>80</v>
      </c>
      <c r="H215" s="46">
        <f>CS_7!B55</f>
        <v>0</v>
      </c>
      <c r="N215" s="44" t="s">
        <v>107</v>
      </c>
      <c r="O215" s="48">
        <f t="shared" si="50"/>
        <v>5.0000000000000001E-3</v>
      </c>
      <c r="P215" s="48">
        <f>ABS(F215*O229)</f>
        <v>0</v>
      </c>
      <c r="Q215" s="48">
        <f>ABS(F216*P229)</f>
        <v>0</v>
      </c>
      <c r="R215" s="48">
        <f>ABS(F217*Q229)</f>
        <v>0</v>
      </c>
      <c r="S215" s="44" t="s">
        <v>107</v>
      </c>
      <c r="T215" s="47">
        <v>5.0000000000000001E-3</v>
      </c>
      <c r="U215" s="47">
        <v>0</v>
      </c>
      <c r="V215" s="47">
        <v>0</v>
      </c>
      <c r="W215" s="47">
        <v>0</v>
      </c>
      <c r="X215" s="68" t="s">
        <v>107</v>
      </c>
      <c r="Y215" s="47">
        <f t="shared" si="51"/>
        <v>1.1872015414934272E-2</v>
      </c>
      <c r="Z215" s="28">
        <f>F222*O229</f>
        <v>0</v>
      </c>
      <c r="AA215" s="28">
        <f>F223*P229</f>
        <v>0</v>
      </c>
      <c r="AB215" s="28">
        <f>F224*Q229</f>
        <v>0</v>
      </c>
    </row>
    <row r="216" spans="1:62" ht="15" customHeight="1">
      <c r="A216" s="346" t="s">
        <v>121</v>
      </c>
      <c r="B216" s="2" t="s">
        <v>170</v>
      </c>
      <c r="C216" s="35">
        <v>0</v>
      </c>
      <c r="E216" s="4" t="s">
        <v>81</v>
      </c>
      <c r="F216" s="46">
        <f>CS_7!B49</f>
        <v>5.0000000000000009E-5</v>
      </c>
      <c r="G216" s="4" t="s">
        <v>81</v>
      </c>
      <c r="H216" s="46">
        <f>CS_7!B56</f>
        <v>0</v>
      </c>
      <c r="N216" s="6" t="s">
        <v>102</v>
      </c>
      <c r="O216" s="28">
        <v>1</v>
      </c>
      <c r="P216" s="28">
        <v>1</v>
      </c>
      <c r="Q216" s="28">
        <v>1</v>
      </c>
      <c r="R216" s="28">
        <v>1</v>
      </c>
      <c r="S216" s="6" t="s">
        <v>102</v>
      </c>
      <c r="T216" s="47">
        <v>1</v>
      </c>
      <c r="U216" s="47">
        <v>1</v>
      </c>
      <c r="V216" s="47">
        <v>1</v>
      </c>
      <c r="W216" s="47">
        <v>1</v>
      </c>
      <c r="X216" s="6" t="s">
        <v>102</v>
      </c>
      <c r="Y216" s="28">
        <v>1</v>
      </c>
      <c r="Z216" s="28">
        <v>1</v>
      </c>
      <c r="AA216" s="28">
        <v>1</v>
      </c>
      <c r="AB216" s="28">
        <v>1</v>
      </c>
    </row>
    <row r="217" spans="1:62" ht="15" customHeight="1">
      <c r="A217" s="346"/>
      <c r="B217" s="2" t="s">
        <v>169</v>
      </c>
      <c r="C217" s="35">
        <v>0</v>
      </c>
      <c r="E217" s="4" t="s">
        <v>82</v>
      </c>
      <c r="F217" s="46">
        <f>CS_7!B50</f>
        <v>4.999999975000001E-5</v>
      </c>
      <c r="G217" s="4" t="s">
        <v>82</v>
      </c>
      <c r="H217" s="46">
        <f>CS_7!B57</f>
        <v>0</v>
      </c>
      <c r="X217" s="6"/>
    </row>
    <row r="218" spans="1:62" ht="32" customHeight="1">
      <c r="A218" s="346"/>
      <c r="B218" s="2" t="s">
        <v>402</v>
      </c>
      <c r="C218" s="36">
        <v>0</v>
      </c>
      <c r="D218" s="356" t="s">
        <v>414</v>
      </c>
      <c r="E218" s="347" t="s">
        <v>289</v>
      </c>
      <c r="F218" s="347"/>
      <c r="G218" s="336" t="s">
        <v>237</v>
      </c>
      <c r="H218" s="336"/>
      <c r="I218" s="347" t="s">
        <v>292</v>
      </c>
      <c r="J218" s="347"/>
      <c r="K218" s="347" t="s">
        <v>290</v>
      </c>
      <c r="L218" s="347"/>
      <c r="N218" s="33" t="s">
        <v>94</v>
      </c>
      <c r="O218" s="1"/>
      <c r="P218" s="65"/>
      <c r="Q218" s="1"/>
      <c r="R218" s="1"/>
      <c r="S218" s="33" t="s">
        <v>129</v>
      </c>
      <c r="X218" s="6"/>
      <c r="Y218" s="90" t="s">
        <v>282</v>
      </c>
    </row>
    <row r="219" spans="1:62" ht="15" customHeight="1">
      <c r="A219" s="346"/>
      <c r="B219" s="2" t="s">
        <v>403</v>
      </c>
      <c r="C219" s="36">
        <v>0</v>
      </c>
      <c r="D219" s="356"/>
      <c r="E219" s="44" t="s">
        <v>79</v>
      </c>
      <c r="F219" s="47">
        <f>E235/IF(H219=0,1000000000000,H219)</f>
        <v>0</v>
      </c>
      <c r="G219" s="4" t="s">
        <v>111</v>
      </c>
      <c r="H219" s="28">
        <f>CS_7!B25</f>
        <v>400000000</v>
      </c>
      <c r="I219" s="4" t="s">
        <v>80</v>
      </c>
      <c r="J219" s="47">
        <f>A248*F262</f>
        <v>0</v>
      </c>
      <c r="K219" s="4" t="s">
        <v>80</v>
      </c>
      <c r="L219" s="131">
        <f t="array" ref="L219:L222">MMULT(MINVERSE(O231:R234),J219:J222)</f>
        <v>0</v>
      </c>
      <c r="O219" t="s">
        <v>83</v>
      </c>
      <c r="P219" s="7" t="s">
        <v>84</v>
      </c>
      <c r="Q219" s="25" t="s">
        <v>85</v>
      </c>
      <c r="R219" s="25" t="s">
        <v>86</v>
      </c>
      <c r="T219" t="s">
        <v>83</v>
      </c>
      <c r="U219" s="7" t="s">
        <v>84</v>
      </c>
      <c r="V219" s="25" t="s">
        <v>85</v>
      </c>
      <c r="W219" s="25" t="s">
        <v>86</v>
      </c>
      <c r="X219" s="6"/>
      <c r="Y219" t="s">
        <v>83</v>
      </c>
      <c r="Z219" s="7" t="s">
        <v>84</v>
      </c>
      <c r="AA219" s="25" t="s">
        <v>85</v>
      </c>
      <c r="AB219" s="25" t="s">
        <v>86</v>
      </c>
    </row>
    <row r="220" spans="1:62" ht="15" customHeight="1">
      <c r="A220" s="349" t="s">
        <v>419</v>
      </c>
      <c r="B220" s="2" t="s">
        <v>404</v>
      </c>
      <c r="C220" s="35">
        <v>0</v>
      </c>
      <c r="D220" s="356"/>
      <c r="E220" s="44" t="s">
        <v>106</v>
      </c>
      <c r="F220" s="47">
        <f t="shared" ref="F220:F221" si="52">E236/IF(H220=0,1000000000000,H220)</f>
        <v>0</v>
      </c>
      <c r="G220" s="4" t="s">
        <v>112</v>
      </c>
      <c r="H220" s="28">
        <f>CS_7!B26</f>
        <v>400000000</v>
      </c>
      <c r="I220" s="4" t="s">
        <v>81</v>
      </c>
      <c r="J220" s="47">
        <f>A248*F263</f>
        <v>0</v>
      </c>
      <c r="K220" s="4" t="s">
        <v>81</v>
      </c>
      <c r="L220" s="131">
        <v>0</v>
      </c>
      <c r="N220" s="44" t="s">
        <v>79</v>
      </c>
      <c r="O220" s="48">
        <f>H212</f>
        <v>0</v>
      </c>
      <c r="P220" s="48">
        <f>H215*O227</f>
        <v>0</v>
      </c>
      <c r="Q220" s="48">
        <f>H216*P227</f>
        <v>0</v>
      </c>
      <c r="R220" s="48">
        <f>H217*Q227</f>
        <v>0</v>
      </c>
      <c r="S220" s="44" t="s">
        <v>79</v>
      </c>
      <c r="T220" s="48">
        <f t="array" ref="T220:T223">MMULT(T231:W234,O220:O223)</f>
        <v>0</v>
      </c>
      <c r="U220" s="48">
        <f t="array" ref="U220:U223">MMULT(T231:W234,P220:P223)</f>
        <v>0</v>
      </c>
      <c r="V220" s="48">
        <f t="array" ref="V220:V223">MMULT(T231:W234,Q220:Q223)</f>
        <v>0</v>
      </c>
      <c r="W220" s="48">
        <f t="array" ref="W220:W223">MMULT(T231:W234,R220:R223)</f>
        <v>0</v>
      </c>
      <c r="X220" s="68" t="s">
        <v>79</v>
      </c>
      <c r="Y220" s="28">
        <f t="array" ref="Y220:Y223">MMULT(T231:W234,Y213:Y216)</f>
        <v>0</v>
      </c>
      <c r="Z220" s="28">
        <f t="array" ref="Z220:Z223">MMULT(T231:W234,Z213:Z216)</f>
        <v>0</v>
      </c>
      <c r="AA220" s="28">
        <f t="array" ref="AA220:AA223">MMULT(T231:W234,AA213:AA216)</f>
        <v>0</v>
      </c>
      <c r="AB220" s="28">
        <f t="array" ref="AB220:AB223">MMULT(T231:W234,AB213:AB216)</f>
        <v>0</v>
      </c>
    </row>
    <row r="221" spans="1:62" ht="15" customHeight="1">
      <c r="A221" s="350"/>
      <c r="B221" s="297" t="s">
        <v>391</v>
      </c>
      <c r="E221" s="44" t="s">
        <v>107</v>
      </c>
      <c r="F221" s="47">
        <f t="shared" si="52"/>
        <v>-4.5499999999999996E-6</v>
      </c>
      <c r="G221" s="4" t="s">
        <v>113</v>
      </c>
      <c r="H221" s="28">
        <f>CS_7!B27</f>
        <v>400000000</v>
      </c>
      <c r="I221" s="4" t="s">
        <v>82</v>
      </c>
      <c r="J221" s="47">
        <f>A248*F264</f>
        <v>0</v>
      </c>
      <c r="K221" s="4" t="s">
        <v>82</v>
      </c>
      <c r="L221" s="131">
        <v>0</v>
      </c>
      <c r="N221" s="44" t="s">
        <v>106</v>
      </c>
      <c r="O221" s="48">
        <f>H213</f>
        <v>0</v>
      </c>
      <c r="P221" s="48">
        <f>H215*O228</f>
        <v>0</v>
      </c>
      <c r="Q221" s="48">
        <f>H216*P228</f>
        <v>0</v>
      </c>
      <c r="R221" s="48">
        <f>H217*Q228</f>
        <v>0</v>
      </c>
      <c r="S221" s="44" t="s">
        <v>106</v>
      </c>
      <c r="T221" s="48">
        <v>0</v>
      </c>
      <c r="U221" s="48">
        <v>0</v>
      </c>
      <c r="V221" s="48">
        <v>0</v>
      </c>
      <c r="W221" s="48">
        <v>0</v>
      </c>
      <c r="X221" s="68" t="s">
        <v>106</v>
      </c>
      <c r="Y221" s="28">
        <v>0</v>
      </c>
      <c r="Z221" s="28">
        <v>0</v>
      </c>
      <c r="AA221" s="28">
        <v>0</v>
      </c>
      <c r="AB221" s="28">
        <v>0</v>
      </c>
    </row>
    <row r="222" spans="1:62" ht="15" customHeight="1">
      <c r="A222" s="350"/>
      <c r="B222" s="12" t="s">
        <v>405</v>
      </c>
      <c r="C222" s="30">
        <f>AC231+C218</f>
        <v>0</v>
      </c>
      <c r="E222" s="4" t="s">
        <v>80</v>
      </c>
      <c r="F222" s="47">
        <f>E239/IF(H222=0,1000000000000,H222)+L219</f>
        <v>3.2996664243474138E-7</v>
      </c>
      <c r="G222" s="44" t="s">
        <v>8</v>
      </c>
      <c r="H222" s="28">
        <f>CS_7!B29</f>
        <v>4000404375000</v>
      </c>
      <c r="I222" s="4" t="s">
        <v>291</v>
      </c>
      <c r="J222" s="28">
        <v>1</v>
      </c>
      <c r="K222" s="4" t="s">
        <v>291</v>
      </c>
      <c r="L222" s="131">
        <v>1</v>
      </c>
      <c r="N222" s="44" t="s">
        <v>107</v>
      </c>
      <c r="O222" s="48">
        <f>H214</f>
        <v>0</v>
      </c>
      <c r="P222" s="48">
        <f>H215*O229</f>
        <v>0</v>
      </c>
      <c r="Q222" s="48">
        <f>H216*P229</f>
        <v>0</v>
      </c>
      <c r="R222" s="48">
        <f>H217*Q229</f>
        <v>0</v>
      </c>
      <c r="S222" s="44" t="s">
        <v>107</v>
      </c>
      <c r="T222" s="48">
        <v>0</v>
      </c>
      <c r="U222" s="48">
        <v>0</v>
      </c>
      <c r="V222" s="48">
        <v>0</v>
      </c>
      <c r="W222" s="48">
        <v>0</v>
      </c>
      <c r="X222" s="68" t="s">
        <v>107</v>
      </c>
      <c r="Y222" s="28">
        <v>1.1872015414934272E-2</v>
      </c>
      <c r="Z222" s="28">
        <v>0</v>
      </c>
      <c r="AA222" s="28">
        <v>0</v>
      </c>
      <c r="AB222" s="28">
        <v>0</v>
      </c>
    </row>
    <row r="223" spans="1:62" ht="15" customHeight="1">
      <c r="A223" s="350"/>
      <c r="B223" s="12" t="s">
        <v>406</v>
      </c>
      <c r="C223" s="30">
        <f>AC232+C219</f>
        <v>0</v>
      </c>
      <c r="E223" s="4" t="s">
        <v>81</v>
      </c>
      <c r="F223" s="47">
        <f t="shared" ref="F223:F224" si="53">E240/IF(H223=0,1000000000000,H223)+L220</f>
        <v>7.9997304257507574E-8</v>
      </c>
      <c r="G223" s="44" t="s">
        <v>114</v>
      </c>
      <c r="H223" s="28">
        <f>CS_7!B30</f>
        <v>4000134791666.6665</v>
      </c>
      <c r="N223" s="6" t="s">
        <v>102</v>
      </c>
      <c r="O223" s="28">
        <v>1</v>
      </c>
      <c r="P223" s="28">
        <v>1</v>
      </c>
      <c r="Q223" s="28">
        <v>1</v>
      </c>
      <c r="R223" s="28">
        <v>1</v>
      </c>
      <c r="S223" s="6" t="s">
        <v>102</v>
      </c>
      <c r="T223" s="28">
        <v>1</v>
      </c>
      <c r="U223" s="28">
        <v>1</v>
      </c>
      <c r="V223" s="28">
        <v>1</v>
      </c>
      <c r="W223" s="28">
        <v>1</v>
      </c>
      <c r="X223" s="6" t="s">
        <v>102</v>
      </c>
      <c r="Y223" s="28">
        <v>1</v>
      </c>
      <c r="Z223" s="28">
        <v>1</v>
      </c>
      <c r="AA223" s="28">
        <v>1</v>
      </c>
      <c r="AB223" s="28">
        <v>1</v>
      </c>
    </row>
    <row r="224" spans="1:62" ht="15" customHeight="1">
      <c r="A224" s="350"/>
      <c r="B224" s="12" t="s">
        <v>407</v>
      </c>
      <c r="C224" s="30">
        <f>AC233+C220</f>
        <v>0</v>
      </c>
      <c r="E224" s="4" t="s">
        <v>82</v>
      </c>
      <c r="F224" s="47">
        <f t="shared" si="53"/>
        <v>0</v>
      </c>
      <c r="G224" s="44" t="s">
        <v>110</v>
      </c>
      <c r="H224" s="28">
        <f>CS_7!B31</f>
        <v>8000134791666.667</v>
      </c>
      <c r="AB224" s="5"/>
      <c r="AU224" s="5" t="s">
        <v>67</v>
      </c>
      <c r="AZ224" s="5" t="s">
        <v>87</v>
      </c>
      <c r="BE224" s="5" t="s">
        <v>92</v>
      </c>
      <c r="BJ224" s="5" t="s">
        <v>92</v>
      </c>
    </row>
    <row r="225" spans="1:59" ht="34">
      <c r="A225" s="350"/>
      <c r="B225" s="67" t="s">
        <v>101</v>
      </c>
      <c r="E225" s="336" t="s">
        <v>280</v>
      </c>
      <c r="F225" s="352"/>
      <c r="G225" s="353" t="s">
        <v>279</v>
      </c>
      <c r="H225" s="354"/>
      <c r="I225" s="354"/>
      <c r="J225" s="354"/>
      <c r="K225" s="354"/>
      <c r="L225" s="355"/>
      <c r="M225" s="89" t="s">
        <v>281</v>
      </c>
      <c r="N225" s="82" t="s">
        <v>234</v>
      </c>
      <c r="AE225" s="43" t="s">
        <v>214</v>
      </c>
      <c r="AF225" s="295">
        <f>CS_7!B60</f>
        <v>5.0000000000000009E-5</v>
      </c>
      <c r="AG225" s="43"/>
      <c r="AH225" s="43"/>
      <c r="AI225" s="43"/>
      <c r="AJ225" s="43" t="s">
        <v>88</v>
      </c>
      <c r="AK225" s="296">
        <f>CS_7!B61</f>
        <v>5.0000000000000009E-5</v>
      </c>
      <c r="AL225" s="7"/>
      <c r="AM225" s="7"/>
      <c r="AN225" s="43"/>
      <c r="AO225" s="43" t="s">
        <v>213</v>
      </c>
      <c r="AP225" s="295">
        <f>CS_7!B62</f>
        <v>4.999999975000001E-5</v>
      </c>
      <c r="AU225" s="7" t="s">
        <v>0</v>
      </c>
      <c r="AV225" s="7" t="s">
        <v>1</v>
      </c>
      <c r="AW225" s="7" t="s">
        <v>2</v>
      </c>
      <c r="AZ225" s="7" t="s">
        <v>0</v>
      </c>
      <c r="BA225" s="7" t="s">
        <v>1</v>
      </c>
      <c r="BB225" s="7" t="s">
        <v>2</v>
      </c>
      <c r="BE225" s="7" t="s">
        <v>0</v>
      </c>
      <c r="BF225" s="7" t="s">
        <v>1</v>
      </c>
      <c r="BG225" s="7" t="s">
        <v>2</v>
      </c>
    </row>
    <row r="226" spans="1:59" ht="15" customHeight="1">
      <c r="A226" s="350"/>
      <c r="B226" s="39" t="s">
        <v>95</v>
      </c>
      <c r="C226" s="41">
        <f t="array" ref="C226:C229">MMULT(O198:R201,E202:E205)</f>
        <v>0</v>
      </c>
      <c r="E226" s="44" t="s">
        <v>79</v>
      </c>
      <c r="F226" s="47">
        <f t="array" ref="F226:F231">MMULT(G226:L231,M226:M231)</f>
        <v>0</v>
      </c>
      <c r="G226" s="124">
        <f>CS_7!G5</f>
        <v>5.7058085130663014E-7</v>
      </c>
      <c r="H226" s="124">
        <f>CS_7!H5</f>
        <v>0</v>
      </c>
      <c r="I226" s="124">
        <f>CS_7!I5</f>
        <v>0</v>
      </c>
      <c r="J226" s="124">
        <f>CS_7!J5</f>
        <v>0</v>
      </c>
      <c r="K226" s="124">
        <f>CS_7!K5</f>
        <v>0</v>
      </c>
      <c r="L226" s="124">
        <f>CS_7!L5</f>
        <v>-9.5798251454259047E-9</v>
      </c>
      <c r="M226" s="28">
        <f>C226</f>
        <v>0</v>
      </c>
      <c r="O226" s="7" t="s">
        <v>4</v>
      </c>
      <c r="P226" s="25" t="s">
        <v>5</v>
      </c>
      <c r="Q226" s="25" t="s">
        <v>6</v>
      </c>
      <c r="R226" s="25"/>
      <c r="S226" s="25"/>
      <c r="T226" s="25"/>
      <c r="U226" s="25"/>
      <c r="V226" s="25"/>
      <c r="W226" s="25"/>
      <c r="X226" s="25"/>
      <c r="Y226" s="25"/>
      <c r="Z226" s="25"/>
      <c r="AA226" s="25"/>
      <c r="AB226" t="s">
        <v>66</v>
      </c>
      <c r="AC226" s="28">
        <f>C211</f>
        <v>0</v>
      </c>
      <c r="AD226" s="28"/>
      <c r="AE226" s="76">
        <v>1</v>
      </c>
      <c r="AF226" s="47">
        <v>0</v>
      </c>
      <c r="AG226" s="47">
        <v>0</v>
      </c>
      <c r="AH226" s="77">
        <v>0</v>
      </c>
      <c r="AI226" s="78"/>
      <c r="AJ226" s="47">
        <f>COS(AK225)</f>
        <v>0.99999999875000001</v>
      </c>
      <c r="AK226" s="47">
        <v>0</v>
      </c>
      <c r="AL226" s="47">
        <f>-AJ228</f>
        <v>4.9999999979166678E-5</v>
      </c>
      <c r="AM226" s="47">
        <v>0</v>
      </c>
      <c r="AN226" s="78"/>
      <c r="AO226" s="47">
        <f>COS(AP225)</f>
        <v>0.99999999875000001</v>
      </c>
      <c r="AP226" s="47">
        <f>-AO227</f>
        <v>-4.9999999729166679E-5</v>
      </c>
      <c r="AQ226" s="47">
        <v>0</v>
      </c>
      <c r="AR226" s="47">
        <v>0</v>
      </c>
      <c r="AS226" s="78"/>
      <c r="AT226" s="28" t="s">
        <v>63</v>
      </c>
      <c r="AU226" s="47">
        <f t="array" ref="AU226:AU229">MMULT(AE226:AH229,$AC226:$AC229)</f>
        <v>0</v>
      </c>
      <c r="AV226" s="47">
        <f>AU226-$AC226</f>
        <v>0</v>
      </c>
      <c r="AW226" s="47">
        <f>AV226/AF225</f>
        <v>0</v>
      </c>
      <c r="AX226" s="78"/>
      <c r="AY226" s="28" t="s">
        <v>63</v>
      </c>
      <c r="AZ226" s="47">
        <f t="array" ref="AZ226:AZ229">MMULT(AJ226:AM229,$AC226:$AC229)</f>
        <v>0</v>
      </c>
      <c r="BA226" s="47">
        <f>AZ226-$AC226</f>
        <v>0</v>
      </c>
      <c r="BB226" s="47">
        <f>BA226/AK225</f>
        <v>0</v>
      </c>
      <c r="BC226" s="78"/>
      <c r="BD226" s="28" t="s">
        <v>63</v>
      </c>
      <c r="BE226" s="47">
        <f t="array" ref="BE226:BE229">MMULT(AO226:AR229,$AC226:$AC229)</f>
        <v>0</v>
      </c>
      <c r="BF226" s="47">
        <f>BE226-$AC226</f>
        <v>0</v>
      </c>
      <c r="BG226" s="47">
        <f>BF226/AP225</f>
        <v>0</v>
      </c>
    </row>
    <row r="227" spans="1:59" ht="17">
      <c r="A227" s="350"/>
      <c r="B227" s="39" t="s">
        <v>96</v>
      </c>
      <c r="C227" s="41">
        <v>0</v>
      </c>
      <c r="E227" s="44" t="s">
        <v>106</v>
      </c>
      <c r="F227" s="47">
        <v>0</v>
      </c>
      <c r="G227" s="124">
        <f>CS_7!G6</f>
        <v>0</v>
      </c>
      <c r="H227" s="124">
        <f>CS_7!H6</f>
        <v>5.7058085130663014E-7</v>
      </c>
      <c r="I227" s="124">
        <f>CS_7!I6</f>
        <v>0</v>
      </c>
      <c r="J227" s="124">
        <f>CS_7!J6</f>
        <v>0</v>
      </c>
      <c r="K227" s="124">
        <f>CS_7!K6</f>
        <v>0</v>
      </c>
      <c r="L227" s="124">
        <f>CS_7!L6</f>
        <v>0</v>
      </c>
      <c r="M227" s="28">
        <f t="shared" ref="M227:M228" si="54">C227</f>
        <v>0</v>
      </c>
      <c r="N227" s="44" t="s">
        <v>79</v>
      </c>
      <c r="O227" s="30">
        <f>AW226</f>
        <v>0</v>
      </c>
      <c r="P227" s="30">
        <f>BB226</f>
        <v>0</v>
      </c>
      <c r="Q227" s="30">
        <f>BG226</f>
        <v>0</v>
      </c>
      <c r="AB227" t="s">
        <v>71</v>
      </c>
      <c r="AC227" s="28">
        <f>C212</f>
        <v>0</v>
      </c>
      <c r="AD227" s="28"/>
      <c r="AE227" s="76">
        <v>0</v>
      </c>
      <c r="AF227" s="47">
        <f>COS(AF225)</f>
        <v>0.99999999875000001</v>
      </c>
      <c r="AG227" s="47">
        <f>-SIN(AF225)</f>
        <v>-4.9999999979166678E-5</v>
      </c>
      <c r="AH227" s="77">
        <v>0</v>
      </c>
      <c r="AI227" s="78"/>
      <c r="AJ227" s="47">
        <v>0</v>
      </c>
      <c r="AK227" s="47">
        <v>1</v>
      </c>
      <c r="AL227" s="47">
        <v>0</v>
      </c>
      <c r="AM227" s="47">
        <v>0</v>
      </c>
      <c r="AN227" s="78"/>
      <c r="AO227" s="47">
        <f>SIN(AP225)</f>
        <v>4.9999999729166679E-5</v>
      </c>
      <c r="AP227" s="47">
        <f>AO226</f>
        <v>0.99999999875000001</v>
      </c>
      <c r="AQ227" s="47">
        <v>0</v>
      </c>
      <c r="AR227" s="47">
        <v>0</v>
      </c>
      <c r="AS227" s="78"/>
      <c r="AT227" s="28" t="s">
        <v>64</v>
      </c>
      <c r="AU227" s="47">
        <v>0</v>
      </c>
      <c r="AV227" s="47">
        <f>AU227-$AC227</f>
        <v>0</v>
      </c>
      <c r="AW227" s="47">
        <f>AV227/AF225</f>
        <v>0</v>
      </c>
      <c r="AX227" s="78"/>
      <c r="AY227" s="28" t="s">
        <v>64</v>
      </c>
      <c r="AZ227" s="47">
        <v>0</v>
      </c>
      <c r="BA227" s="47">
        <f>AZ227-$AC227</f>
        <v>0</v>
      </c>
      <c r="BB227" s="47">
        <f>BA227/AK225</f>
        <v>0</v>
      </c>
      <c r="BC227" s="78"/>
      <c r="BD227" s="28" t="s">
        <v>64</v>
      </c>
      <c r="BE227" s="47">
        <v>0</v>
      </c>
      <c r="BF227" s="47">
        <f>BE227-$AC227</f>
        <v>0</v>
      </c>
      <c r="BG227" s="47">
        <f>BF227/AP225</f>
        <v>0</v>
      </c>
    </row>
    <row r="228" spans="1:59" ht="17">
      <c r="A228" s="350"/>
      <c r="B228" s="39" t="s">
        <v>97</v>
      </c>
      <c r="C228" s="41">
        <v>-1820</v>
      </c>
      <c r="E228" s="44" t="s">
        <v>107</v>
      </c>
      <c r="F228" s="47">
        <v>1.1876565414934273E-2</v>
      </c>
      <c r="G228" s="124">
        <f>CS_7!G7</f>
        <v>0</v>
      </c>
      <c r="H228" s="124">
        <f>CS_7!H7</f>
        <v>0</v>
      </c>
      <c r="I228" s="124">
        <f>CS_7!I7</f>
        <v>1.0378143907544729E-6</v>
      </c>
      <c r="J228" s="124">
        <f>CS_7!J7</f>
        <v>1.0428323944020767E-8</v>
      </c>
      <c r="K228" s="124">
        <f>CS_7!K7</f>
        <v>0</v>
      </c>
      <c r="L228" s="124">
        <f>CS_7!L7</f>
        <v>0</v>
      </c>
      <c r="M228" s="28">
        <f t="shared" si="54"/>
        <v>-1820</v>
      </c>
      <c r="N228" s="44" t="s">
        <v>106</v>
      </c>
      <c r="O228" s="30">
        <f t="shared" ref="O228:O229" si="55">AW227</f>
        <v>0</v>
      </c>
      <c r="P228" s="30">
        <f t="shared" ref="P228:P229" si="56">BB227</f>
        <v>0</v>
      </c>
      <c r="Q228" s="30">
        <f t="shared" ref="Q228:Q229" si="57">BG227</f>
        <v>0</v>
      </c>
      <c r="AB228" t="s">
        <v>72</v>
      </c>
      <c r="AC228" s="28">
        <f>C213</f>
        <v>0</v>
      </c>
      <c r="AD228" s="28"/>
      <c r="AE228" s="76">
        <v>0</v>
      </c>
      <c r="AF228" s="47">
        <f>-AG227</f>
        <v>4.9999999979166678E-5</v>
      </c>
      <c r="AG228" s="47">
        <f>AF227</f>
        <v>0.99999999875000001</v>
      </c>
      <c r="AH228" s="77">
        <v>0</v>
      </c>
      <c r="AI228" s="78"/>
      <c r="AJ228" s="47">
        <f>-SIN(AK225)</f>
        <v>-4.9999999979166678E-5</v>
      </c>
      <c r="AK228" s="47">
        <v>0</v>
      </c>
      <c r="AL228" s="47">
        <f>COS(AK225)</f>
        <v>0.99999999875000001</v>
      </c>
      <c r="AM228" s="47">
        <v>0</v>
      </c>
      <c r="AN228" s="78"/>
      <c r="AO228" s="47">
        <v>0</v>
      </c>
      <c r="AP228" s="47">
        <v>0</v>
      </c>
      <c r="AQ228" s="47">
        <v>1</v>
      </c>
      <c r="AR228" s="47">
        <v>0</v>
      </c>
      <c r="AS228" s="78"/>
      <c r="AT228" s="28" t="s">
        <v>65</v>
      </c>
      <c r="AU228" s="47">
        <v>0</v>
      </c>
      <c r="AV228" s="47">
        <f>AU228-$AC228</f>
        <v>0</v>
      </c>
      <c r="AW228" s="47">
        <f>AV228/AF225</f>
        <v>0</v>
      </c>
      <c r="AX228" s="78"/>
      <c r="AY228" s="28" t="s">
        <v>65</v>
      </c>
      <c r="AZ228" s="47">
        <v>0</v>
      </c>
      <c r="BA228" s="47">
        <f>AZ228-$AC228</f>
        <v>0</v>
      </c>
      <c r="BB228" s="47">
        <f>BA228/AK225</f>
        <v>0</v>
      </c>
      <c r="BC228" s="78"/>
      <c r="BD228" s="28" t="s">
        <v>65</v>
      </c>
      <c r="BE228" s="47">
        <v>0</v>
      </c>
      <c r="BF228" s="47">
        <f>BE228-$AC228</f>
        <v>0</v>
      </c>
      <c r="BG228" s="47">
        <f>BF228/AP225</f>
        <v>0</v>
      </c>
    </row>
    <row r="229" spans="1:59" ht="15" customHeight="1">
      <c r="A229" s="350"/>
      <c r="B229" s="39" t="s">
        <v>102</v>
      </c>
      <c r="C229" s="41">
        <v>1</v>
      </c>
      <c r="E229" s="4" t="s">
        <v>80</v>
      </c>
      <c r="F229" s="47">
        <v>2.9250646484213326E-4</v>
      </c>
      <c r="G229" s="124">
        <f>CS_7!G8</f>
        <v>0</v>
      </c>
      <c r="H229" s="124">
        <f>CS_7!H8</f>
        <v>0</v>
      </c>
      <c r="I229" s="124">
        <f>CS_7!I8</f>
        <v>1.0428323944020767E-8</v>
      </c>
      <c r="J229" s="124">
        <f>CS_7!J8</f>
        <v>2.3597425334867504E-10</v>
      </c>
      <c r="K229" s="124">
        <f>CS_7!K8</f>
        <v>0</v>
      </c>
      <c r="L229" s="124">
        <f>CS_7!L8</f>
        <v>0</v>
      </c>
      <c r="M229" s="28">
        <f>C230</f>
        <v>1320000</v>
      </c>
      <c r="N229" s="44" t="s">
        <v>107</v>
      </c>
      <c r="O229" s="30">
        <f t="shared" si="55"/>
        <v>0</v>
      </c>
      <c r="P229" s="30">
        <f t="shared" si="56"/>
        <v>0</v>
      </c>
      <c r="Q229" s="30">
        <f t="shared" si="57"/>
        <v>0</v>
      </c>
      <c r="AC229" s="28">
        <v>1</v>
      </c>
      <c r="AD229" s="28"/>
      <c r="AE229" s="76">
        <v>0</v>
      </c>
      <c r="AF229" s="47">
        <v>0</v>
      </c>
      <c r="AG229" s="47">
        <v>0</v>
      </c>
      <c r="AH229" s="77">
        <v>1</v>
      </c>
      <c r="AI229" s="78"/>
      <c r="AJ229" s="47">
        <v>0</v>
      </c>
      <c r="AK229" s="47">
        <v>0</v>
      </c>
      <c r="AL229" s="47">
        <v>0</v>
      </c>
      <c r="AM229" s="47">
        <v>1</v>
      </c>
      <c r="AN229" s="78"/>
      <c r="AO229" s="47">
        <v>0</v>
      </c>
      <c r="AP229" s="47">
        <v>0</v>
      </c>
      <c r="AQ229" s="47">
        <v>0</v>
      </c>
      <c r="AR229" s="47">
        <v>1</v>
      </c>
      <c r="AS229" s="78"/>
      <c r="AT229" s="28"/>
      <c r="AU229" s="47">
        <v>1</v>
      </c>
      <c r="AV229" s="47"/>
      <c r="AW229" s="47"/>
      <c r="AX229" s="78"/>
      <c r="AY229" s="28"/>
      <c r="AZ229" s="47">
        <v>1</v>
      </c>
      <c r="BA229" s="47"/>
      <c r="BB229" s="47"/>
      <c r="BC229" s="78"/>
      <c r="BD229" s="28"/>
      <c r="BE229" s="47">
        <v>1</v>
      </c>
      <c r="BF229" s="47"/>
      <c r="BG229" s="47"/>
    </row>
    <row r="230" spans="1:59" ht="15" customHeight="1">
      <c r="A230" s="350"/>
      <c r="B230" s="39" t="s">
        <v>98</v>
      </c>
      <c r="C230" s="41">
        <f t="array" ref="C230:C233">MMULT(O198:R201,E206:E209)</f>
        <v>1320000</v>
      </c>
      <c r="E230" s="4" t="s">
        <v>81</v>
      </c>
      <c r="F230" s="47">
        <v>6.9367759514571165E-5</v>
      </c>
      <c r="G230" s="124">
        <f>CS_7!G9</f>
        <v>0</v>
      </c>
      <c r="H230" s="124">
        <f>CS_7!H9</f>
        <v>0</v>
      </c>
      <c r="I230" s="124">
        <f>CS_7!I9</f>
        <v>0</v>
      </c>
      <c r="J230" s="124">
        <f>CS_7!J9</f>
        <v>0</v>
      </c>
      <c r="K230" s="124">
        <f>CS_7!K9</f>
        <v>2.167742484830349E-10</v>
      </c>
      <c r="L230" s="124">
        <f>CS_7!L9</f>
        <v>0</v>
      </c>
      <c r="M230" s="28">
        <f>C231</f>
        <v>320000</v>
      </c>
      <c r="O230" s="3" t="s">
        <v>77</v>
      </c>
      <c r="T230" s="3" t="s">
        <v>78</v>
      </c>
      <c r="AE230" t="s">
        <v>90</v>
      </c>
      <c r="AJ230" t="s">
        <v>89</v>
      </c>
      <c r="AO230" t="s">
        <v>91</v>
      </c>
    </row>
    <row r="231" spans="1:59" ht="15" customHeight="1">
      <c r="A231" s="350"/>
      <c r="B231" s="39" t="s">
        <v>99</v>
      </c>
      <c r="C231" s="41">
        <v>320000</v>
      </c>
      <c r="E231" s="4" t="s">
        <v>82</v>
      </c>
      <c r="F231" s="47">
        <v>0</v>
      </c>
      <c r="G231" s="124">
        <f>CS_7!G10</f>
        <v>-9.5798251454259047E-9</v>
      </c>
      <c r="H231" s="124">
        <f>CS_7!H10</f>
        <v>0</v>
      </c>
      <c r="I231" s="124">
        <f>CS_7!I10</f>
        <v>0</v>
      </c>
      <c r="J231" s="124">
        <f>CS_7!J10</f>
        <v>0</v>
      </c>
      <c r="K231" s="124">
        <f>CS_7!K10</f>
        <v>0</v>
      </c>
      <c r="L231" s="124">
        <f>CS_7!L10</f>
        <v>0</v>
      </c>
      <c r="M231" s="28">
        <f>C232</f>
        <v>0</v>
      </c>
      <c r="O231" s="30">
        <f t="array" ref="O231:R234">MMULT(AO231:AR234,MMULT(AJ231:AM234,AE231:AH234))</f>
        <v>1</v>
      </c>
      <c r="P231" s="30">
        <v>0</v>
      </c>
      <c r="Q231" s="30">
        <v>0</v>
      </c>
      <c r="R231" s="30">
        <v>0</v>
      </c>
      <c r="S231" s="11"/>
      <c r="T231" s="30">
        <f t="array" ref="T231:W234">IF(A252=1,MMULT(T264:W267,O231:R234),T$363:W$366)</f>
        <v>1</v>
      </c>
      <c r="U231" s="30">
        <v>0</v>
      </c>
      <c r="V231" s="30">
        <v>0</v>
      </c>
      <c r="W231" s="30">
        <v>0</v>
      </c>
      <c r="X231" s="30"/>
      <c r="Y231" s="30"/>
      <c r="Z231" s="30"/>
      <c r="AA231" s="30"/>
      <c r="AB231" t="s">
        <v>68</v>
      </c>
      <c r="AC231" s="28">
        <f t="array" ref="AC231:AC234">MMULT(O231:R234,AC226:AC229)</f>
        <v>0</v>
      </c>
      <c r="AD231" s="28"/>
      <c r="AE231" s="27">
        <v>1</v>
      </c>
      <c r="AF231" s="28">
        <v>0</v>
      </c>
      <c r="AG231" s="28">
        <v>0</v>
      </c>
      <c r="AH231" s="29">
        <v>0</v>
      </c>
      <c r="AJ231" s="27">
        <f>COS(PI()*C216/180)</f>
        <v>1</v>
      </c>
      <c r="AK231" s="28">
        <v>0</v>
      </c>
      <c r="AL231" s="28">
        <f>SIN(PI()*C216/180)</f>
        <v>0</v>
      </c>
      <c r="AM231" s="29">
        <v>0</v>
      </c>
      <c r="AO231" s="27">
        <f>COS(PI()*C217/180)</f>
        <v>1</v>
      </c>
      <c r="AP231" s="28">
        <f>-SIN(PI()*C217/180)</f>
        <v>0</v>
      </c>
      <c r="AQ231" s="28">
        <v>0</v>
      </c>
      <c r="AR231" s="29">
        <v>0</v>
      </c>
    </row>
    <row r="232" spans="1:59" ht="15" customHeight="1">
      <c r="A232" s="350"/>
      <c r="B232" s="39" t="s">
        <v>100</v>
      </c>
      <c r="C232" s="41">
        <v>0</v>
      </c>
      <c r="G232" s="105"/>
      <c r="H232" s="105"/>
      <c r="I232" s="105"/>
      <c r="J232" s="117"/>
      <c r="K232" s="117"/>
      <c r="L232" s="117"/>
      <c r="M232" s="117"/>
      <c r="O232" s="30">
        <v>0</v>
      </c>
      <c r="P232" s="30">
        <v>1</v>
      </c>
      <c r="Q232" s="30">
        <v>0</v>
      </c>
      <c r="R232" s="30">
        <v>0</v>
      </c>
      <c r="S232" s="11"/>
      <c r="T232" s="30">
        <v>0</v>
      </c>
      <c r="U232" s="30">
        <v>1</v>
      </c>
      <c r="V232" s="30">
        <v>0</v>
      </c>
      <c r="W232" s="30">
        <v>0</v>
      </c>
      <c r="X232" s="30"/>
      <c r="Y232" s="30"/>
      <c r="Z232" s="30"/>
      <c r="AA232" s="30"/>
      <c r="AB232" t="s">
        <v>69</v>
      </c>
      <c r="AC232" s="28">
        <v>0</v>
      </c>
      <c r="AD232" s="28"/>
      <c r="AE232" s="27">
        <v>0</v>
      </c>
      <c r="AF232" s="28">
        <f>COS(PI()*C215/180)</f>
        <v>1</v>
      </c>
      <c r="AG232" s="28">
        <f>-SIN(PI()*C215/180)</f>
        <v>0</v>
      </c>
      <c r="AH232" s="29">
        <v>0</v>
      </c>
      <c r="AJ232" s="27">
        <v>0</v>
      </c>
      <c r="AK232" s="28">
        <v>1</v>
      </c>
      <c r="AL232" s="28">
        <v>0</v>
      </c>
      <c r="AM232" s="29">
        <v>0</v>
      </c>
      <c r="AO232" s="27">
        <f>SIN(PI()*C217/180)</f>
        <v>0</v>
      </c>
      <c r="AP232" s="28">
        <f>AO231</f>
        <v>1</v>
      </c>
      <c r="AQ232" s="28">
        <v>0</v>
      </c>
      <c r="AR232" s="29">
        <v>0</v>
      </c>
    </row>
    <row r="233" spans="1:59" ht="15" customHeight="1">
      <c r="A233" s="350"/>
      <c r="B233" s="39" t="s">
        <v>102</v>
      </c>
      <c r="C233" s="41">
        <v>1</v>
      </c>
      <c r="G233" s="105"/>
      <c r="H233" s="105"/>
      <c r="I233" s="105"/>
      <c r="J233" s="117"/>
      <c r="K233" s="117"/>
      <c r="L233" s="117"/>
      <c r="M233" s="117"/>
      <c r="O233" s="30">
        <v>0</v>
      </c>
      <c r="P233" s="30">
        <v>0</v>
      </c>
      <c r="Q233" s="30">
        <v>1</v>
      </c>
      <c r="R233" s="30">
        <v>0</v>
      </c>
      <c r="S233" s="11"/>
      <c r="T233" s="30">
        <v>0</v>
      </c>
      <c r="U233" s="30">
        <v>0</v>
      </c>
      <c r="V233" s="30">
        <v>1</v>
      </c>
      <c r="W233" s="30">
        <v>0</v>
      </c>
      <c r="X233" s="30"/>
      <c r="Y233" s="30"/>
      <c r="Z233" s="30"/>
      <c r="AA233" s="30"/>
      <c r="AB233" t="s">
        <v>70</v>
      </c>
      <c r="AC233" s="28">
        <v>0</v>
      </c>
      <c r="AD233" s="28"/>
      <c r="AE233" s="27">
        <v>0</v>
      </c>
      <c r="AF233" s="28">
        <f>SIN(PI()*C215/180)</f>
        <v>0</v>
      </c>
      <c r="AG233" s="28">
        <f>AF232</f>
        <v>1</v>
      </c>
      <c r="AH233" s="29">
        <v>0</v>
      </c>
      <c r="AJ233" s="27">
        <f>-SIN(PI()*C216/180)</f>
        <v>0</v>
      </c>
      <c r="AK233" s="28">
        <v>0</v>
      </c>
      <c r="AL233" s="28">
        <f>AJ231</f>
        <v>1</v>
      </c>
      <c r="AM233" s="29">
        <v>0</v>
      </c>
      <c r="AO233" s="27">
        <v>0</v>
      </c>
      <c r="AP233" s="28">
        <v>0</v>
      </c>
      <c r="AQ233" s="28">
        <v>1</v>
      </c>
      <c r="AR233" s="29">
        <v>0</v>
      </c>
    </row>
    <row r="234" spans="1:59" s="114" customFormat="1">
      <c r="A234" s="350"/>
      <c r="B234" s="75" t="s">
        <v>173</v>
      </c>
      <c r="C234"/>
      <c r="D234" s="87" t="s">
        <v>232</v>
      </c>
      <c r="E234"/>
      <c r="G234" s="119"/>
      <c r="H234" s="119"/>
      <c r="I234" s="119"/>
      <c r="J234" s="126"/>
      <c r="K234" s="126"/>
      <c r="L234" s="126"/>
      <c r="M234" s="126"/>
      <c r="O234" s="115">
        <v>0</v>
      </c>
      <c r="P234" s="115">
        <v>0</v>
      </c>
      <c r="Q234" s="115">
        <v>0</v>
      </c>
      <c r="R234" s="115">
        <v>1</v>
      </c>
      <c r="S234" s="116"/>
      <c r="T234" s="115">
        <v>0</v>
      </c>
      <c r="U234" s="115">
        <v>0</v>
      </c>
      <c r="V234" s="115">
        <v>0</v>
      </c>
      <c r="W234" s="115">
        <v>1</v>
      </c>
      <c r="X234" s="115"/>
      <c r="Y234" s="115"/>
      <c r="Z234" s="115"/>
      <c r="AA234" s="115"/>
      <c r="AC234" s="31">
        <v>1</v>
      </c>
      <c r="AD234" s="31"/>
      <c r="AE234" s="31">
        <v>0</v>
      </c>
      <c r="AF234" s="31">
        <v>0</v>
      </c>
      <c r="AG234" s="31">
        <v>0</v>
      </c>
      <c r="AH234" s="31">
        <v>1</v>
      </c>
      <c r="AJ234" s="31">
        <v>0</v>
      </c>
      <c r="AK234" s="31">
        <v>0</v>
      </c>
      <c r="AL234" s="31">
        <v>0</v>
      </c>
      <c r="AM234" s="31">
        <v>1</v>
      </c>
      <c r="AO234" s="31">
        <v>0</v>
      </c>
      <c r="AP234" s="31">
        <v>0</v>
      </c>
      <c r="AQ234" s="31">
        <v>0</v>
      </c>
      <c r="AR234" s="31">
        <v>1</v>
      </c>
    </row>
    <row r="235" spans="1:59" s="114" customFormat="1" ht="17">
      <c r="A235" s="350"/>
      <c r="B235" s="39" t="s">
        <v>95</v>
      </c>
      <c r="C235" s="40">
        <v>0</v>
      </c>
      <c r="D235" s="39" t="s">
        <v>95</v>
      </c>
      <c r="E235" s="41">
        <f>C226+C235</f>
        <v>0</v>
      </c>
      <c r="F235" s="122"/>
      <c r="G235" s="126"/>
      <c r="H235" s="129"/>
      <c r="I235" s="126"/>
      <c r="J235" s="126"/>
      <c r="K235" s="126"/>
      <c r="L235" s="126"/>
      <c r="M235" s="126"/>
      <c r="O235" s="115"/>
      <c r="P235" s="115"/>
      <c r="Q235" s="115"/>
      <c r="R235" s="115"/>
      <c r="S235" s="116"/>
      <c r="T235" s="115"/>
      <c r="U235" s="115"/>
      <c r="V235" s="115"/>
      <c r="W235" s="115"/>
      <c r="X235" s="115"/>
      <c r="Y235" s="115"/>
      <c r="Z235" s="115"/>
      <c r="AA235" s="115"/>
      <c r="AC235" s="31"/>
      <c r="AD235" s="31"/>
      <c r="AE235" s="31"/>
      <c r="AF235" s="31"/>
      <c r="AG235" s="31"/>
      <c r="AH235" s="31"/>
      <c r="AJ235" s="31"/>
      <c r="AK235" s="31"/>
      <c r="AL235" s="31"/>
      <c r="AM235" s="31"/>
      <c r="AO235" s="31"/>
      <c r="AP235" s="31"/>
      <c r="AQ235" s="31"/>
      <c r="AR235" s="31"/>
    </row>
    <row r="236" spans="1:59" s="114" customFormat="1" ht="17">
      <c r="A236" s="350"/>
      <c r="B236" s="39" t="s">
        <v>96</v>
      </c>
      <c r="C236" s="40">
        <v>0</v>
      </c>
      <c r="D236" s="39" t="s">
        <v>96</v>
      </c>
      <c r="E236" s="41">
        <f>C227+C236</f>
        <v>0</v>
      </c>
      <c r="F236" s="122"/>
      <c r="G236" s="126"/>
      <c r="H236" s="129"/>
      <c r="I236" s="126"/>
      <c r="J236" s="126"/>
      <c r="K236" s="126"/>
      <c r="L236" s="126"/>
      <c r="M236" s="126"/>
      <c r="O236" s="115"/>
      <c r="P236" s="115"/>
      <c r="Q236" s="115"/>
      <c r="R236" s="115"/>
      <c r="S236" s="116"/>
      <c r="T236" s="115"/>
      <c r="U236" s="115"/>
      <c r="V236" s="115"/>
      <c r="W236" s="115"/>
      <c r="X236" s="115"/>
      <c r="Y236" s="115"/>
      <c r="Z236" s="115"/>
      <c r="AA236" s="115"/>
      <c r="AC236" s="31"/>
      <c r="AD236" s="31"/>
      <c r="AE236" s="31"/>
      <c r="AF236" s="31"/>
      <c r="AG236" s="31"/>
      <c r="AH236" s="31"/>
      <c r="AJ236" s="31"/>
      <c r="AK236" s="31"/>
      <c r="AL236" s="31"/>
      <c r="AM236" s="31"/>
      <c r="AO236" s="31"/>
      <c r="AP236" s="31"/>
      <c r="AQ236" s="31"/>
      <c r="AR236" s="31"/>
    </row>
    <row r="237" spans="1:59" s="114" customFormat="1" ht="17">
      <c r="A237" s="350"/>
      <c r="B237" s="39" t="s">
        <v>97</v>
      </c>
      <c r="C237" s="40">
        <v>0</v>
      </c>
      <c r="D237" s="39" t="s">
        <v>97</v>
      </c>
      <c r="E237" s="41">
        <f>C228+C237</f>
        <v>-1820</v>
      </c>
      <c r="F237" s="122"/>
      <c r="G237" s="126"/>
      <c r="H237" s="129"/>
      <c r="I237" s="126"/>
      <c r="J237" s="126"/>
      <c r="K237" s="126"/>
      <c r="L237" s="126"/>
      <c r="M237" s="126"/>
      <c r="O237" s="115"/>
      <c r="P237" s="115"/>
      <c r="Q237" s="115"/>
      <c r="R237" s="115"/>
      <c r="S237" s="116"/>
      <c r="T237" s="115"/>
      <c r="U237" s="115"/>
      <c r="V237" s="115"/>
      <c r="W237" s="115"/>
      <c r="X237" s="115"/>
      <c r="Y237" s="115"/>
      <c r="Z237" s="115"/>
      <c r="AA237" s="115"/>
      <c r="AC237" s="31"/>
      <c r="AD237" s="31"/>
      <c r="AE237" s="31"/>
      <c r="AF237" s="31"/>
      <c r="AG237" s="31"/>
      <c r="AH237" s="31"/>
      <c r="AJ237" s="31"/>
      <c r="AK237" s="31"/>
      <c r="AL237" s="31"/>
      <c r="AM237" s="31"/>
      <c r="AO237" s="31"/>
      <c r="AP237" s="31"/>
      <c r="AQ237" s="31"/>
      <c r="AR237" s="31"/>
    </row>
    <row r="238" spans="1:59" s="114" customFormat="1" ht="17">
      <c r="A238" s="350"/>
      <c r="B238" s="122" t="s">
        <v>102</v>
      </c>
      <c r="C238" s="123">
        <v>1</v>
      </c>
      <c r="D238" s="122" t="s">
        <v>102</v>
      </c>
      <c r="E238" s="123">
        <v>1</v>
      </c>
      <c r="F238" s="122"/>
      <c r="G238" s="126"/>
      <c r="H238" s="129"/>
      <c r="I238" s="126"/>
      <c r="J238" s="126"/>
      <c r="K238" s="126"/>
      <c r="L238" s="126"/>
      <c r="M238" s="126"/>
      <c r="O238" s="115"/>
      <c r="P238" s="115"/>
      <c r="Q238" s="115"/>
      <c r="R238" s="115"/>
      <c r="S238" s="116"/>
      <c r="T238" s="115"/>
      <c r="U238" s="115"/>
      <c r="V238" s="115"/>
      <c r="W238" s="115"/>
      <c r="X238" s="115"/>
      <c r="Y238" s="115"/>
      <c r="Z238" s="115"/>
      <c r="AA238" s="115"/>
      <c r="AC238" s="31"/>
      <c r="AD238" s="31"/>
      <c r="AE238" s="31"/>
      <c r="AF238" s="31"/>
      <c r="AG238" s="31"/>
      <c r="AH238" s="31"/>
      <c r="AJ238" s="31"/>
      <c r="AK238" s="31"/>
      <c r="AL238" s="31"/>
      <c r="AM238" s="31"/>
      <c r="AO238" s="31"/>
      <c r="AP238" s="31"/>
      <c r="AQ238" s="31"/>
      <c r="AR238" s="31"/>
    </row>
    <row r="239" spans="1:59" s="114" customFormat="1" ht="17">
      <c r="A239" s="350"/>
      <c r="B239" s="39" t="s">
        <v>98</v>
      </c>
      <c r="C239" s="40">
        <v>0</v>
      </c>
      <c r="D239" s="39" t="s">
        <v>98</v>
      </c>
      <c r="E239" s="41">
        <f>C230+C239+C228*C186-C227*C187</f>
        <v>1320000</v>
      </c>
      <c r="F239" s="122"/>
      <c r="G239" s="126"/>
      <c r="H239" s="129"/>
      <c r="I239" s="126"/>
      <c r="J239" s="126"/>
      <c r="K239" s="126"/>
      <c r="L239" s="126"/>
      <c r="M239" s="126"/>
      <c r="O239" s="115"/>
      <c r="P239" s="115"/>
      <c r="Q239" s="115"/>
      <c r="R239" s="115"/>
      <c r="S239" s="116"/>
      <c r="T239" s="115"/>
      <c r="U239" s="115"/>
      <c r="V239" s="115"/>
      <c r="W239" s="115"/>
      <c r="X239" s="115"/>
      <c r="Y239" s="115"/>
      <c r="Z239" s="115"/>
      <c r="AA239" s="115"/>
      <c r="AC239" s="31"/>
      <c r="AD239" s="31"/>
      <c r="AE239" s="31"/>
      <c r="AF239" s="31"/>
      <c r="AG239" s="31"/>
      <c r="AH239" s="31"/>
      <c r="AJ239" s="31"/>
      <c r="AK239" s="31"/>
      <c r="AL239" s="31"/>
      <c r="AM239" s="31"/>
      <c r="AO239" s="31"/>
      <c r="AP239" s="31"/>
      <c r="AQ239" s="31"/>
      <c r="AR239" s="31"/>
    </row>
    <row r="240" spans="1:59" s="114" customFormat="1" ht="17">
      <c r="A240" s="350"/>
      <c r="B240" s="39" t="s">
        <v>99</v>
      </c>
      <c r="C240" s="40">
        <v>0</v>
      </c>
      <c r="D240" s="39" t="s">
        <v>99</v>
      </c>
      <c r="E240" s="41">
        <f>C231+C240+C226*C187-C228*C185</f>
        <v>320000</v>
      </c>
      <c r="F240" s="122"/>
      <c r="G240" s="126"/>
      <c r="H240" s="129"/>
      <c r="I240" s="126"/>
      <c r="J240" s="126"/>
      <c r="K240" s="126"/>
      <c r="L240" s="126"/>
      <c r="M240" s="126"/>
      <c r="O240" s="115"/>
      <c r="P240" s="115"/>
      <c r="Q240" s="115"/>
      <c r="R240" s="115"/>
      <c r="S240" s="116"/>
      <c r="T240" s="115"/>
      <c r="U240" s="115"/>
      <c r="V240" s="115"/>
      <c r="W240" s="115"/>
      <c r="X240" s="115"/>
      <c r="Y240" s="115"/>
      <c r="Z240" s="115"/>
      <c r="AA240" s="115"/>
      <c r="AC240" s="31"/>
      <c r="AD240" s="31"/>
      <c r="AE240" s="31"/>
      <c r="AF240" s="31"/>
      <c r="AG240" s="31"/>
      <c r="AH240" s="31"/>
      <c r="AJ240" s="31"/>
      <c r="AK240" s="31"/>
      <c r="AL240" s="31"/>
      <c r="AM240" s="31"/>
      <c r="AO240" s="31"/>
      <c r="AP240" s="31"/>
      <c r="AQ240" s="31"/>
      <c r="AR240" s="31"/>
    </row>
    <row r="241" spans="1:44" s="114" customFormat="1" ht="17">
      <c r="A241" s="350"/>
      <c r="B241" s="39" t="s">
        <v>100</v>
      </c>
      <c r="C241" s="40">
        <v>0</v>
      </c>
      <c r="D241" s="39" t="s">
        <v>100</v>
      </c>
      <c r="E241" s="41">
        <f>C232+C241+C227*C185-C226*C186</f>
        <v>0</v>
      </c>
      <c r="F241" s="122"/>
      <c r="G241" s="126"/>
      <c r="H241" s="129"/>
      <c r="I241" s="126"/>
      <c r="J241" s="126"/>
      <c r="K241" s="126"/>
      <c r="L241" s="126"/>
      <c r="M241" s="126"/>
      <c r="O241" s="115"/>
      <c r="P241" s="115"/>
      <c r="Q241" s="115"/>
      <c r="R241" s="115"/>
      <c r="S241" s="116"/>
      <c r="T241" s="115"/>
      <c r="U241" s="115"/>
      <c r="V241" s="115"/>
      <c r="W241" s="115"/>
      <c r="X241" s="115"/>
      <c r="Y241" s="115"/>
      <c r="Z241" s="115"/>
      <c r="AA241" s="115"/>
      <c r="AC241" s="31"/>
      <c r="AD241" s="31"/>
      <c r="AE241" s="31"/>
      <c r="AF241" s="31"/>
      <c r="AG241" s="31"/>
      <c r="AH241" s="31"/>
      <c r="AJ241" s="31"/>
      <c r="AK241" s="31"/>
      <c r="AL241" s="31"/>
      <c r="AM241" s="31"/>
      <c r="AO241" s="31"/>
      <c r="AP241" s="31"/>
      <c r="AQ241" s="31"/>
      <c r="AR241" s="31"/>
    </row>
    <row r="242" spans="1:44" s="50" customFormat="1" ht="18" thickBot="1">
      <c r="A242" s="351"/>
      <c r="B242" s="55" t="s">
        <v>102</v>
      </c>
      <c r="C242" s="56">
        <v>1</v>
      </c>
      <c r="D242" s="55" t="s">
        <v>102</v>
      </c>
      <c r="E242" s="56">
        <v>1</v>
      </c>
      <c r="F242" s="55"/>
      <c r="G242" s="127"/>
      <c r="H242" s="130"/>
      <c r="I242" s="127"/>
      <c r="J242" s="127"/>
      <c r="K242" s="127"/>
      <c r="L242" s="127"/>
      <c r="M242" s="127"/>
      <c r="O242" s="51"/>
      <c r="P242" s="51"/>
      <c r="Q242" s="51"/>
      <c r="R242" s="51"/>
      <c r="S242" s="52"/>
      <c r="T242" s="51"/>
      <c r="U242" s="51"/>
      <c r="V242" s="51"/>
      <c r="W242" s="51"/>
      <c r="X242" s="51"/>
      <c r="Y242" s="51"/>
      <c r="Z242" s="51"/>
      <c r="AA242" s="51"/>
      <c r="AC242" s="53"/>
      <c r="AD242" s="53"/>
      <c r="AE242" s="53"/>
      <c r="AF242" s="53"/>
      <c r="AG242" s="53"/>
      <c r="AH242" s="53"/>
      <c r="AJ242" s="53"/>
      <c r="AK242" s="53"/>
      <c r="AL242" s="53"/>
      <c r="AM242" s="53"/>
      <c r="AO242" s="53"/>
      <c r="AP242" s="53"/>
      <c r="AQ242" s="53"/>
      <c r="AR242" s="53"/>
    </row>
    <row r="243" spans="1:44" ht="15" customHeight="1">
      <c r="A243" s="348" t="s">
        <v>314</v>
      </c>
      <c r="B243" s="66" t="s">
        <v>236</v>
      </c>
      <c r="E243" s="1" t="s">
        <v>139</v>
      </c>
    </row>
    <row r="244" spans="1:44" ht="15" customHeight="1">
      <c r="A244" s="348"/>
      <c r="B244" s="12" t="s">
        <v>73</v>
      </c>
      <c r="C244" s="54">
        <f>C222</f>
        <v>0</v>
      </c>
      <c r="E244" s="336" t="s">
        <v>130</v>
      </c>
      <c r="F244" s="336"/>
      <c r="G244" s="336" t="s">
        <v>131</v>
      </c>
      <c r="H244" s="336"/>
      <c r="N244" s="33" t="s">
        <v>93</v>
      </c>
      <c r="O244" s="1"/>
      <c r="P244" s="65"/>
      <c r="Q244" s="1"/>
      <c r="R244" s="1"/>
      <c r="S244" s="33" t="s">
        <v>128</v>
      </c>
      <c r="Y244" s="90" t="s">
        <v>283</v>
      </c>
    </row>
    <row r="245" spans="1:44" ht="15" customHeight="1">
      <c r="A245" s="348"/>
      <c r="B245" s="12" t="s">
        <v>74</v>
      </c>
      <c r="C245" s="54">
        <f>C223</f>
        <v>0</v>
      </c>
      <c r="E245" s="44" t="s">
        <v>79</v>
      </c>
      <c r="F245" s="46">
        <f>CS_8!B45</f>
        <v>5.0000000000000001E-3</v>
      </c>
      <c r="G245" s="44" t="s">
        <v>79</v>
      </c>
      <c r="H245" s="46">
        <f>CS_8!B52</f>
        <v>0</v>
      </c>
      <c r="O245" t="s">
        <v>83</v>
      </c>
      <c r="P245" s="7" t="s">
        <v>84</v>
      </c>
      <c r="Q245" s="25" t="s">
        <v>85</v>
      </c>
      <c r="R245" s="25" t="s">
        <v>86</v>
      </c>
      <c r="T245" t="s">
        <v>83</v>
      </c>
      <c r="U245" s="7" t="s">
        <v>84</v>
      </c>
      <c r="V245" s="25" t="s">
        <v>85</v>
      </c>
      <c r="W245" s="25" t="s">
        <v>86</v>
      </c>
      <c r="Y245" t="s">
        <v>83</v>
      </c>
      <c r="Z245" s="7" t="s">
        <v>84</v>
      </c>
      <c r="AA245" s="25" t="s">
        <v>85</v>
      </c>
      <c r="AB245" s="25" t="s">
        <v>86</v>
      </c>
    </row>
    <row r="246" spans="1:44" ht="15" customHeight="1">
      <c r="A246" s="348"/>
      <c r="B246" s="12" t="s">
        <v>75</v>
      </c>
      <c r="C246" s="54">
        <f>C224</f>
        <v>0</v>
      </c>
      <c r="E246" s="44" t="s">
        <v>106</v>
      </c>
      <c r="F246" s="46">
        <f>CS_8!B46</f>
        <v>5.0000000000000001E-3</v>
      </c>
      <c r="G246" s="44" t="s">
        <v>106</v>
      </c>
      <c r="H246" s="46">
        <f>CS_8!B53</f>
        <v>0</v>
      </c>
      <c r="N246" s="44" t="s">
        <v>79</v>
      </c>
      <c r="O246" s="48">
        <f>ABS(F245)</f>
        <v>5.0000000000000001E-3</v>
      </c>
      <c r="P246" s="48">
        <f>ABS(F248*O260)</f>
        <v>0</v>
      </c>
      <c r="Q246" s="48">
        <f>ABS(F249*P260)</f>
        <v>0</v>
      </c>
      <c r="R246" s="48">
        <f>ABS(F250*Q260)</f>
        <v>0</v>
      </c>
      <c r="S246" s="44" t="s">
        <v>79</v>
      </c>
      <c r="T246" s="47">
        <f t="array" ref="T246:W249">ABS(MMULT(T264:W267,O246:R249))</f>
        <v>5.0000000000000001E-3</v>
      </c>
      <c r="U246" s="47">
        <v>0</v>
      </c>
      <c r="V246" s="47">
        <v>0</v>
      </c>
      <c r="W246" s="47">
        <v>0</v>
      </c>
      <c r="X246" s="68" t="s">
        <v>79</v>
      </c>
      <c r="Y246" s="47">
        <f>F252+F259</f>
        <v>0</v>
      </c>
      <c r="Z246" s="28">
        <f>F255*O260</f>
        <v>0</v>
      </c>
      <c r="AA246" s="28">
        <f>F256*P260</f>
        <v>0</v>
      </c>
      <c r="AB246" s="28">
        <f>F257*Q260</f>
        <v>0</v>
      </c>
    </row>
    <row r="247" spans="1:44" ht="15" customHeight="1">
      <c r="A247" s="58">
        <v>8</v>
      </c>
      <c r="B247" s="1" t="s">
        <v>76</v>
      </c>
      <c r="E247" s="44" t="s">
        <v>107</v>
      </c>
      <c r="F247" s="46">
        <f>CS_8!B47</f>
        <v>5.0000000000000001E-3</v>
      </c>
      <c r="G247" s="44" t="s">
        <v>107</v>
      </c>
      <c r="H247" s="46">
        <f>CS_8!B54</f>
        <v>0</v>
      </c>
      <c r="N247" s="44" t="s">
        <v>106</v>
      </c>
      <c r="O247" s="48">
        <f t="shared" ref="O247:O248" si="58">ABS(F246)</f>
        <v>5.0000000000000001E-3</v>
      </c>
      <c r="P247" s="48">
        <f>ABS(F248*O261)</f>
        <v>0</v>
      </c>
      <c r="Q247" s="48">
        <f>ABS(F249*P261)</f>
        <v>0</v>
      </c>
      <c r="R247" s="48">
        <f>ABS(F250*Q261)</f>
        <v>0</v>
      </c>
      <c r="S247" s="44" t="s">
        <v>106</v>
      </c>
      <c r="T247" s="47">
        <v>5.0000000000000001E-3</v>
      </c>
      <c r="U247" s="47">
        <v>0</v>
      </c>
      <c r="V247" s="47">
        <v>0</v>
      </c>
      <c r="W247" s="47">
        <v>0</v>
      </c>
      <c r="X247" s="68" t="s">
        <v>106</v>
      </c>
      <c r="Y247" s="47">
        <f t="shared" ref="Y247:Y248" si="59">F253+F260</f>
        <v>0</v>
      </c>
      <c r="Z247" s="28">
        <f>F255*O261</f>
        <v>0</v>
      </c>
      <c r="AA247" s="28">
        <f>F256*P261</f>
        <v>0</v>
      </c>
      <c r="AB247" s="28">
        <f>F257*Q261</f>
        <v>0</v>
      </c>
    </row>
    <row r="248" spans="1:44" ht="15" customHeight="1">
      <c r="A248" s="41">
        <f>IF(A247&gt;Naxes,0,1)</f>
        <v>0</v>
      </c>
      <c r="B248" s="2" t="s">
        <v>168</v>
      </c>
      <c r="C248" s="35">
        <v>0</v>
      </c>
      <c r="E248" s="4" t="s">
        <v>80</v>
      </c>
      <c r="F248" s="46">
        <f>CS_8!B48</f>
        <v>1.0000000000000007E-4</v>
      </c>
      <c r="G248" s="4" t="s">
        <v>80</v>
      </c>
      <c r="H248" s="46">
        <f>CS_8!B55</f>
        <v>0</v>
      </c>
      <c r="N248" s="44" t="s">
        <v>107</v>
      </c>
      <c r="O248" s="48">
        <f t="shared" si="58"/>
        <v>5.0000000000000001E-3</v>
      </c>
      <c r="P248" s="48">
        <f>ABS(F248*O262)</f>
        <v>0</v>
      </c>
      <c r="Q248" s="48">
        <f>ABS(F249*P262)</f>
        <v>0</v>
      </c>
      <c r="R248" s="48">
        <f>ABS(F250*Q262)</f>
        <v>0</v>
      </c>
      <c r="S248" s="44" t="s">
        <v>107</v>
      </c>
      <c r="T248" s="47">
        <v>5.0000000000000001E-3</v>
      </c>
      <c r="U248" s="47">
        <v>0</v>
      </c>
      <c r="V248" s="47">
        <v>0</v>
      </c>
      <c r="W248" s="47">
        <v>0</v>
      </c>
      <c r="X248" s="68" t="s">
        <v>107</v>
      </c>
      <c r="Y248" s="47">
        <f t="shared" si="59"/>
        <v>-7.0324574961360125E-4</v>
      </c>
      <c r="Z248" s="28">
        <f>F255*O262</f>
        <v>0</v>
      </c>
      <c r="AA248" s="28">
        <f>F256*P262</f>
        <v>0</v>
      </c>
      <c r="AB248" s="28">
        <f>F257*Q262</f>
        <v>0</v>
      </c>
    </row>
    <row r="249" spans="1:44" ht="15" customHeight="1">
      <c r="A249" s="346" t="s">
        <v>121</v>
      </c>
      <c r="B249" s="2" t="s">
        <v>170</v>
      </c>
      <c r="C249" s="35">
        <v>0</v>
      </c>
      <c r="E249" s="4" t="s">
        <v>81</v>
      </c>
      <c r="F249" s="46">
        <f>CS_8!B49</f>
        <v>9.9999999000000077E-5</v>
      </c>
      <c r="G249" s="4" t="s">
        <v>81</v>
      </c>
      <c r="H249" s="46">
        <f>CS_8!B56</f>
        <v>0</v>
      </c>
      <c r="N249" s="6" t="s">
        <v>102</v>
      </c>
      <c r="O249" s="28">
        <v>1</v>
      </c>
      <c r="P249" s="28">
        <v>1</v>
      </c>
      <c r="Q249" s="28">
        <v>1</v>
      </c>
      <c r="R249" s="28">
        <v>1</v>
      </c>
      <c r="S249" s="6" t="s">
        <v>102</v>
      </c>
      <c r="T249" s="47">
        <v>1</v>
      </c>
      <c r="U249" s="47">
        <v>1</v>
      </c>
      <c r="V249" s="47">
        <v>1</v>
      </c>
      <c r="W249" s="47">
        <v>1</v>
      </c>
      <c r="X249" s="6" t="s">
        <v>102</v>
      </c>
      <c r="Y249" s="28">
        <v>1</v>
      </c>
      <c r="Z249" s="28">
        <v>1</v>
      </c>
      <c r="AA249" s="28">
        <v>1</v>
      </c>
      <c r="AB249" s="28">
        <v>1</v>
      </c>
    </row>
    <row r="250" spans="1:44" ht="15" customHeight="1">
      <c r="A250" s="346"/>
      <c r="B250" s="2" t="s">
        <v>169</v>
      </c>
      <c r="C250" s="35">
        <v>0</v>
      </c>
      <c r="E250" s="4" t="s">
        <v>82</v>
      </c>
      <c r="F250" s="46">
        <f>CS_8!B50</f>
        <v>1.0000000000000007E-4</v>
      </c>
      <c r="G250" s="4" t="s">
        <v>82</v>
      </c>
      <c r="H250" s="46">
        <f>CS_8!B57</f>
        <v>0</v>
      </c>
      <c r="X250" s="6"/>
    </row>
    <row r="251" spans="1:44" ht="32" customHeight="1">
      <c r="A251" s="346"/>
      <c r="B251" s="2" t="s">
        <v>402</v>
      </c>
      <c r="C251" s="35">
        <v>10</v>
      </c>
      <c r="D251" s="356" t="s">
        <v>415</v>
      </c>
      <c r="E251" s="347" t="s">
        <v>289</v>
      </c>
      <c r="F251" s="347"/>
      <c r="G251" s="336" t="s">
        <v>237</v>
      </c>
      <c r="H251" s="336"/>
      <c r="I251" s="347" t="s">
        <v>292</v>
      </c>
      <c r="J251" s="347"/>
      <c r="K251" s="347" t="s">
        <v>290</v>
      </c>
      <c r="L251" s="347"/>
      <c r="N251" s="33" t="s">
        <v>94</v>
      </c>
      <c r="O251" s="1"/>
      <c r="P251" s="65"/>
      <c r="Q251" s="1"/>
      <c r="R251" s="1"/>
      <c r="S251" s="33" t="s">
        <v>129</v>
      </c>
      <c r="X251" s="6"/>
      <c r="Y251" s="90" t="s">
        <v>282</v>
      </c>
    </row>
    <row r="252" spans="1:44" ht="15" customHeight="1">
      <c r="A252" s="346"/>
      <c r="B252" s="2" t="s">
        <v>403</v>
      </c>
      <c r="C252" s="36">
        <v>0</v>
      </c>
      <c r="D252" s="356"/>
      <c r="E252" s="44" t="s">
        <v>79</v>
      </c>
      <c r="F252" s="47">
        <f>E268/IF(H252=0,1000000000000,H252)</f>
        <v>0</v>
      </c>
      <c r="G252" s="4" t="s">
        <v>111</v>
      </c>
      <c r="H252" s="28">
        <f>CS_8!B25</f>
        <v>6785.8401317539538</v>
      </c>
      <c r="I252" s="4" t="s">
        <v>80</v>
      </c>
      <c r="J252" s="47">
        <f>A281*F295</f>
        <v>0</v>
      </c>
      <c r="K252" s="4" t="s">
        <v>80</v>
      </c>
      <c r="L252" s="131">
        <f t="array" ref="L252:L255">MMULT(MINVERSE(O264:R267),J252:J255)</f>
        <v>0</v>
      </c>
      <c r="O252" t="s">
        <v>83</v>
      </c>
      <c r="P252" s="7" t="s">
        <v>84</v>
      </c>
      <c r="Q252" s="25" t="s">
        <v>85</v>
      </c>
      <c r="R252" s="25" t="s">
        <v>86</v>
      </c>
      <c r="T252" t="s">
        <v>83</v>
      </c>
      <c r="U252" s="7" t="s">
        <v>84</v>
      </c>
      <c r="V252" s="25" t="s">
        <v>85</v>
      </c>
      <c r="W252" s="25" t="s">
        <v>86</v>
      </c>
      <c r="X252" s="6"/>
      <c r="Y252" t="s">
        <v>83</v>
      </c>
      <c r="Z252" s="7" t="s">
        <v>84</v>
      </c>
      <c r="AA252" s="25" t="s">
        <v>85</v>
      </c>
      <c r="AB252" s="25" t="s">
        <v>86</v>
      </c>
    </row>
    <row r="253" spans="1:44" ht="15" customHeight="1">
      <c r="A253" s="349" t="s">
        <v>419</v>
      </c>
      <c r="B253" s="2" t="s">
        <v>404</v>
      </c>
      <c r="C253" s="35">
        <v>0</v>
      </c>
      <c r="D253" s="356"/>
      <c r="E253" s="44" t="s">
        <v>106</v>
      </c>
      <c r="F253" s="47">
        <f t="shared" ref="F253:F254" si="60">E269/IF(H253=0,1000000000000,H253)</f>
        <v>0</v>
      </c>
      <c r="G253" s="4" t="s">
        <v>112</v>
      </c>
      <c r="H253" s="28">
        <f>CS_8!B26</f>
        <v>2588000</v>
      </c>
      <c r="I253" s="4" t="s">
        <v>81</v>
      </c>
      <c r="J253" s="47">
        <f>A281*F296</f>
        <v>0</v>
      </c>
      <c r="K253" s="4" t="s">
        <v>81</v>
      </c>
      <c r="L253" s="131">
        <v>0</v>
      </c>
      <c r="N253" s="44" t="s">
        <v>79</v>
      </c>
      <c r="O253" s="48">
        <f>H245</f>
        <v>0</v>
      </c>
      <c r="P253" s="48">
        <f>H248*O260</f>
        <v>0</v>
      </c>
      <c r="Q253" s="48">
        <f>H249*P260</f>
        <v>0</v>
      </c>
      <c r="R253" s="48">
        <f>H250*Q260</f>
        <v>0</v>
      </c>
      <c r="S253" s="44" t="s">
        <v>79</v>
      </c>
      <c r="T253" s="48">
        <f t="array" ref="T253:T256">MMULT(T264:W267,O253:O256)</f>
        <v>0</v>
      </c>
      <c r="U253" s="48">
        <f t="array" ref="U253:U256">MMULT(T264:W267,P253:P256)</f>
        <v>0</v>
      </c>
      <c r="V253" s="48">
        <f t="array" ref="V253:V256">MMULT(T264:W267,Q253:Q256)</f>
        <v>0</v>
      </c>
      <c r="W253" s="48">
        <f t="array" ref="W253:W256">MMULT(T264:W267,R253:R256)</f>
        <v>0</v>
      </c>
      <c r="X253" s="68" t="s">
        <v>79</v>
      </c>
      <c r="Y253" s="28">
        <f t="array" ref="Y253:Y256">MMULT(T264:W267,Y246:Y249)</f>
        <v>0</v>
      </c>
      <c r="Z253" s="28">
        <f t="array" ref="Z253:Z256">MMULT(T264:W267,Z246:Z249)</f>
        <v>0</v>
      </c>
      <c r="AA253" s="28">
        <f t="array" ref="AA253:AA256">MMULT(T264:W267,AA246:AA249)</f>
        <v>0</v>
      </c>
      <c r="AB253" s="28">
        <f t="array" ref="AB253:AB256">MMULT(T264:W267,AB246:AB249)</f>
        <v>0</v>
      </c>
    </row>
    <row r="254" spans="1:44" ht="15" customHeight="1">
      <c r="A254" s="350"/>
      <c r="B254" s="297" t="s">
        <v>391</v>
      </c>
      <c r="E254" s="44" t="s">
        <v>107</v>
      </c>
      <c r="F254" s="47">
        <f t="shared" si="60"/>
        <v>-7.0324574961360125E-4</v>
      </c>
      <c r="G254" s="4" t="s">
        <v>113</v>
      </c>
      <c r="H254" s="28">
        <f>CS_8!B27</f>
        <v>2588000</v>
      </c>
      <c r="I254" s="4" t="s">
        <v>82</v>
      </c>
      <c r="J254" s="47">
        <f>A281*F297</f>
        <v>0</v>
      </c>
      <c r="K254" s="4" t="s">
        <v>82</v>
      </c>
      <c r="L254" s="131">
        <v>0</v>
      </c>
      <c r="N254" s="44" t="s">
        <v>106</v>
      </c>
      <c r="O254" s="48">
        <f>H246</f>
        <v>0</v>
      </c>
      <c r="P254" s="48">
        <f>H248*O261</f>
        <v>0</v>
      </c>
      <c r="Q254" s="48">
        <f>H249*P261</f>
        <v>0</v>
      </c>
      <c r="R254" s="48">
        <f>H250*Q261</f>
        <v>0</v>
      </c>
      <c r="S254" s="44" t="s">
        <v>106</v>
      </c>
      <c r="T254" s="48">
        <v>0</v>
      </c>
      <c r="U254" s="48">
        <v>0</v>
      </c>
      <c r="V254" s="48">
        <v>0</v>
      </c>
      <c r="W254" s="48">
        <v>0</v>
      </c>
      <c r="X254" s="68" t="s">
        <v>106</v>
      </c>
      <c r="Y254" s="28">
        <v>0</v>
      </c>
      <c r="Z254" s="28">
        <v>0</v>
      </c>
      <c r="AA254" s="28">
        <v>0</v>
      </c>
      <c r="AB254" s="28">
        <v>0</v>
      </c>
    </row>
    <row r="255" spans="1:44" ht="15" customHeight="1">
      <c r="A255" s="350"/>
      <c r="B255" s="12" t="s">
        <v>405</v>
      </c>
      <c r="C255" s="30">
        <f>AC264+C251</f>
        <v>10</v>
      </c>
      <c r="E255" s="4" t="s">
        <v>80</v>
      </c>
      <c r="F255" s="47">
        <f>E272/IF(H255=0,1000000000000,H255)+L252</f>
        <v>1.9201745613237566E-4</v>
      </c>
      <c r="G255" s="44" t="s">
        <v>8</v>
      </c>
      <c r="H255" s="28">
        <f>CS_8!B29</f>
        <v>6874375000</v>
      </c>
      <c r="I255" s="4" t="s">
        <v>291</v>
      </c>
      <c r="J255" s="28">
        <v>1</v>
      </c>
      <c r="K255" s="4" t="s">
        <v>291</v>
      </c>
      <c r="L255" s="131">
        <v>1</v>
      </c>
      <c r="N255" s="44" t="s">
        <v>107</v>
      </c>
      <c r="O255" s="48">
        <f>H247</f>
        <v>0</v>
      </c>
      <c r="P255" s="48">
        <f>H248*O262</f>
        <v>0</v>
      </c>
      <c r="Q255" s="48">
        <f>H249*P262</f>
        <v>0</v>
      </c>
      <c r="R255" s="48">
        <f>H250*Q262</f>
        <v>0</v>
      </c>
      <c r="S255" s="44" t="s">
        <v>107</v>
      </c>
      <c r="T255" s="48">
        <v>0</v>
      </c>
      <c r="U255" s="48">
        <v>0</v>
      </c>
      <c r="V255" s="48">
        <v>0</v>
      </c>
      <c r="W255" s="48">
        <v>0</v>
      </c>
      <c r="X255" s="68" t="s">
        <v>107</v>
      </c>
      <c r="Y255" s="28">
        <v>-7.0324574961360125E-4</v>
      </c>
      <c r="Z255" s="28">
        <v>0</v>
      </c>
      <c r="AA255" s="28">
        <v>0</v>
      </c>
      <c r="AB255" s="28">
        <v>0</v>
      </c>
    </row>
    <row r="256" spans="1:44" ht="15" customHeight="1">
      <c r="A256" s="350"/>
      <c r="B256" s="12" t="s">
        <v>406</v>
      </c>
      <c r="C256" s="30">
        <f>AC265+C252</f>
        <v>0</v>
      </c>
      <c r="E256" s="4" t="s">
        <v>81</v>
      </c>
      <c r="F256" s="47">
        <f t="shared" ref="F256:F257" si="61">E273/IF(H256=0,1000000000000,H256)+L253</f>
        <v>4.8449673532473267E-5</v>
      </c>
      <c r="G256" s="44" t="s">
        <v>114</v>
      </c>
      <c r="H256" s="28">
        <f>CS_8!B30</f>
        <v>6604791666.666667</v>
      </c>
      <c r="N256" s="6" t="s">
        <v>102</v>
      </c>
      <c r="O256" s="28">
        <v>1</v>
      </c>
      <c r="P256" s="28">
        <v>1</v>
      </c>
      <c r="Q256" s="28">
        <v>1</v>
      </c>
      <c r="R256" s="28">
        <v>1</v>
      </c>
      <c r="S256" s="6" t="s">
        <v>102</v>
      </c>
      <c r="T256" s="28">
        <v>1</v>
      </c>
      <c r="U256" s="28">
        <v>1</v>
      </c>
      <c r="V256" s="28">
        <v>1</v>
      </c>
      <c r="W256" s="28">
        <v>1</v>
      </c>
      <c r="X256" s="6" t="s">
        <v>102</v>
      </c>
      <c r="Y256" s="28">
        <v>1</v>
      </c>
      <c r="Z256" s="28">
        <v>1</v>
      </c>
      <c r="AA256" s="28">
        <v>1</v>
      </c>
      <c r="AB256" s="28">
        <v>1</v>
      </c>
    </row>
    <row r="257" spans="1:62" ht="15" customHeight="1">
      <c r="A257" s="350"/>
      <c r="B257" s="12" t="s">
        <v>407</v>
      </c>
      <c r="C257" s="30">
        <f>AC266+C253</f>
        <v>0</v>
      </c>
      <c r="E257" s="4" t="s">
        <v>82</v>
      </c>
      <c r="F257" s="47">
        <f t="shared" si="61"/>
        <v>0</v>
      </c>
      <c r="G257" s="44" t="s">
        <v>110</v>
      </c>
      <c r="H257" s="28">
        <f>CS_8!B31</f>
        <v>6604791666.666667</v>
      </c>
      <c r="AB257" s="5"/>
      <c r="AU257" s="5" t="s">
        <v>67</v>
      </c>
      <c r="AZ257" s="5" t="s">
        <v>87</v>
      </c>
      <c r="BE257" s="5" t="s">
        <v>92</v>
      </c>
      <c r="BJ257" s="5" t="s">
        <v>92</v>
      </c>
    </row>
    <row r="258" spans="1:62" ht="34">
      <c r="A258" s="350"/>
      <c r="B258" s="67" t="s">
        <v>101</v>
      </c>
      <c r="E258" s="336" t="s">
        <v>280</v>
      </c>
      <c r="F258" s="352"/>
      <c r="G258" s="353" t="s">
        <v>279</v>
      </c>
      <c r="H258" s="354"/>
      <c r="I258" s="354"/>
      <c r="J258" s="354"/>
      <c r="K258" s="354"/>
      <c r="L258" s="355"/>
      <c r="M258" s="89" t="s">
        <v>281</v>
      </c>
      <c r="N258" s="82" t="s">
        <v>234</v>
      </c>
      <c r="AE258" s="43" t="s">
        <v>214</v>
      </c>
      <c r="AF258" s="295">
        <f>CS_8!B60</f>
        <v>1.0000000000000007E-4</v>
      </c>
      <c r="AG258" s="43"/>
      <c r="AH258" s="43"/>
      <c r="AI258" s="43"/>
      <c r="AJ258" s="43" t="s">
        <v>88</v>
      </c>
      <c r="AK258" s="296">
        <f>CS_8!B61</f>
        <v>9.9999999000000077E-5</v>
      </c>
      <c r="AL258" s="7"/>
      <c r="AM258" s="7"/>
      <c r="AN258" s="43"/>
      <c r="AO258" s="43" t="s">
        <v>213</v>
      </c>
      <c r="AP258" s="295">
        <f>CS_8!B62</f>
        <v>1.0000000000000007E-4</v>
      </c>
      <c r="AU258" s="7" t="s">
        <v>0</v>
      </c>
      <c r="AV258" s="7" t="s">
        <v>1</v>
      </c>
      <c r="AW258" s="7" t="s">
        <v>2</v>
      </c>
      <c r="AZ258" s="7" t="s">
        <v>0</v>
      </c>
      <c r="BA258" s="7" t="s">
        <v>1</v>
      </c>
      <c r="BB258" s="7" t="s">
        <v>2</v>
      </c>
      <c r="BE258" s="7" t="s">
        <v>0</v>
      </c>
      <c r="BF258" s="7" t="s">
        <v>1</v>
      </c>
      <c r="BG258" s="7" t="s">
        <v>2</v>
      </c>
    </row>
    <row r="259" spans="1:62" ht="15" customHeight="1">
      <c r="A259" s="350"/>
      <c r="B259" s="39" t="s">
        <v>95</v>
      </c>
      <c r="C259" s="41">
        <f t="array" ref="C259:C262">MMULT(O231:R234,E235:E238)</f>
        <v>0</v>
      </c>
      <c r="E259" s="44" t="s">
        <v>79</v>
      </c>
      <c r="F259" s="47">
        <f t="array" ref="F259:F264">MMULT(G259:L264,M259:M264)</f>
        <v>0</v>
      </c>
      <c r="G259" s="124">
        <f>CS_8!G5</f>
        <v>0</v>
      </c>
      <c r="H259" s="124">
        <f>CS_8!H5</f>
        <v>0</v>
      </c>
      <c r="I259" s="124">
        <f>CS_8!I5</f>
        <v>0</v>
      </c>
      <c r="J259" s="124">
        <f>CS_8!J5</f>
        <v>0</v>
      </c>
      <c r="K259" s="124">
        <f>CS_8!K5</f>
        <v>0</v>
      </c>
      <c r="L259" s="124">
        <f>CS_8!L5</f>
        <v>0</v>
      </c>
      <c r="M259" s="28">
        <f>C259</f>
        <v>0</v>
      </c>
      <c r="O259" s="7" t="s">
        <v>4</v>
      </c>
      <c r="P259" s="25" t="s">
        <v>5</v>
      </c>
      <c r="Q259" s="25" t="s">
        <v>6</v>
      </c>
      <c r="R259" s="25"/>
      <c r="S259" s="25"/>
      <c r="T259" s="25"/>
      <c r="U259" s="25"/>
      <c r="V259" s="25"/>
      <c r="W259" s="25"/>
      <c r="X259" s="25"/>
      <c r="Y259" s="25"/>
      <c r="Z259" s="25"/>
      <c r="AA259" s="25"/>
      <c r="AB259" t="s">
        <v>66</v>
      </c>
      <c r="AC259" s="28">
        <f>C244</f>
        <v>0</v>
      </c>
      <c r="AD259" s="28"/>
      <c r="AE259" s="76">
        <v>1</v>
      </c>
      <c r="AF259" s="47">
        <v>0</v>
      </c>
      <c r="AG259" s="47">
        <v>0</v>
      </c>
      <c r="AH259" s="77">
        <v>0</v>
      </c>
      <c r="AI259" s="78"/>
      <c r="AJ259" s="47">
        <f>COS(AK258)</f>
        <v>0.99999999500000014</v>
      </c>
      <c r="AK259" s="47">
        <v>0</v>
      </c>
      <c r="AL259" s="47">
        <f>-AJ261</f>
        <v>9.9999998833333415E-5</v>
      </c>
      <c r="AM259" s="47">
        <v>0</v>
      </c>
      <c r="AN259" s="78"/>
      <c r="AO259" s="47">
        <f>COS(AP258)</f>
        <v>0.99999999500000003</v>
      </c>
      <c r="AP259" s="47">
        <f>-AO260</f>
        <v>-9.9999999833333411E-5</v>
      </c>
      <c r="AQ259" s="47">
        <v>0</v>
      </c>
      <c r="AR259" s="47">
        <v>0</v>
      </c>
      <c r="AS259" s="78"/>
      <c r="AT259" s="28" t="s">
        <v>63</v>
      </c>
      <c r="AU259" s="47">
        <f t="array" ref="AU259:AU262">MMULT(AE259:AH262,$AC259:$AC262)</f>
        <v>0</v>
      </c>
      <c r="AV259" s="47">
        <f>AU259-$AC259</f>
        <v>0</v>
      </c>
      <c r="AW259" s="47">
        <f>AV259/AF258</f>
        <v>0</v>
      </c>
      <c r="AX259" s="78"/>
      <c r="AY259" s="28" t="s">
        <v>63</v>
      </c>
      <c r="AZ259" s="47">
        <f t="array" ref="AZ259:AZ262">MMULT(AJ259:AM262,$AC259:$AC262)</f>
        <v>0</v>
      </c>
      <c r="BA259" s="47">
        <f>AZ259-$AC259</f>
        <v>0</v>
      </c>
      <c r="BB259" s="47">
        <f>BA259/AK258</f>
        <v>0</v>
      </c>
      <c r="BC259" s="78"/>
      <c r="BD259" s="28" t="s">
        <v>63</v>
      </c>
      <c r="BE259" s="47">
        <f t="array" ref="BE259:BE262">MMULT(AO259:AR262,$AC259:$AC262)</f>
        <v>0</v>
      </c>
      <c r="BF259" s="47">
        <f>BE259-$AC259</f>
        <v>0</v>
      </c>
      <c r="BG259" s="47">
        <f>BF259/AP258</f>
        <v>0</v>
      </c>
    </row>
    <row r="260" spans="1:62" ht="17">
      <c r="A260" s="350"/>
      <c r="B260" s="39" t="s">
        <v>96</v>
      </c>
      <c r="C260" s="41">
        <v>0</v>
      </c>
      <c r="E260" s="44" t="s">
        <v>106</v>
      </c>
      <c r="F260" s="47">
        <v>0</v>
      </c>
      <c r="G260" s="124">
        <f>CS_8!G6</f>
        <v>0</v>
      </c>
      <c r="H260" s="124">
        <f>CS_8!H6</f>
        <v>0</v>
      </c>
      <c r="I260" s="124">
        <f>CS_8!I6</f>
        <v>0</v>
      </c>
      <c r="J260" s="124">
        <f>CS_8!J6</f>
        <v>0</v>
      </c>
      <c r="K260" s="124">
        <f>CS_8!K6</f>
        <v>0</v>
      </c>
      <c r="L260" s="124">
        <f>CS_8!L6</f>
        <v>0</v>
      </c>
      <c r="M260" s="28">
        <f t="shared" ref="M260:M261" si="62">C260</f>
        <v>0</v>
      </c>
      <c r="N260" s="44" t="s">
        <v>79</v>
      </c>
      <c r="O260" s="30">
        <f>AW259</f>
        <v>0</v>
      </c>
      <c r="P260" s="30">
        <f>BB259</f>
        <v>0</v>
      </c>
      <c r="Q260" s="30">
        <f>BG259</f>
        <v>0</v>
      </c>
      <c r="AB260" t="s">
        <v>71</v>
      </c>
      <c r="AC260" s="28">
        <f>C245</f>
        <v>0</v>
      </c>
      <c r="AD260" s="28"/>
      <c r="AE260" s="76">
        <v>0</v>
      </c>
      <c r="AF260" s="47">
        <f>COS(AF258)</f>
        <v>0.99999999500000003</v>
      </c>
      <c r="AG260" s="47">
        <f>-SIN(AF258)</f>
        <v>-9.9999999833333411E-5</v>
      </c>
      <c r="AH260" s="77">
        <v>0</v>
      </c>
      <c r="AI260" s="78"/>
      <c r="AJ260" s="47">
        <v>0</v>
      </c>
      <c r="AK260" s="47">
        <v>1</v>
      </c>
      <c r="AL260" s="47">
        <v>0</v>
      </c>
      <c r="AM260" s="47">
        <v>0</v>
      </c>
      <c r="AN260" s="78"/>
      <c r="AO260" s="47">
        <f>SIN(AP258)</f>
        <v>9.9999999833333411E-5</v>
      </c>
      <c r="AP260" s="47">
        <f>AO259</f>
        <v>0.99999999500000003</v>
      </c>
      <c r="AQ260" s="47">
        <v>0</v>
      </c>
      <c r="AR260" s="47">
        <v>0</v>
      </c>
      <c r="AS260" s="78"/>
      <c r="AT260" s="28" t="s">
        <v>64</v>
      </c>
      <c r="AU260" s="47">
        <v>0</v>
      </c>
      <c r="AV260" s="47">
        <f>AU260-$AC260</f>
        <v>0</v>
      </c>
      <c r="AW260" s="47">
        <f>AV260/AF258</f>
        <v>0</v>
      </c>
      <c r="AX260" s="78"/>
      <c r="AY260" s="28" t="s">
        <v>64</v>
      </c>
      <c r="AZ260" s="47">
        <v>0</v>
      </c>
      <c r="BA260" s="47">
        <f>AZ260-$AC260</f>
        <v>0</v>
      </c>
      <c r="BB260" s="47">
        <f>BA260/AK258</f>
        <v>0</v>
      </c>
      <c r="BC260" s="78"/>
      <c r="BD260" s="28" t="s">
        <v>64</v>
      </c>
      <c r="BE260" s="47">
        <v>0</v>
      </c>
      <c r="BF260" s="47">
        <f>BE260-$AC260</f>
        <v>0</v>
      </c>
      <c r="BG260" s="47">
        <f>BF260/AP258</f>
        <v>0</v>
      </c>
    </row>
    <row r="261" spans="1:62" ht="17">
      <c r="A261" s="350"/>
      <c r="B261" s="39" t="s">
        <v>97</v>
      </c>
      <c r="C261" s="41">
        <v>-1820</v>
      </c>
      <c r="E261" s="44" t="s">
        <v>107</v>
      </c>
      <c r="F261" s="47">
        <v>0</v>
      </c>
      <c r="G261" s="124">
        <f>CS_8!G7</f>
        <v>0</v>
      </c>
      <c r="H261" s="124">
        <f>CS_8!H7</f>
        <v>0</v>
      </c>
      <c r="I261" s="124">
        <f>CS_8!I7</f>
        <v>0</v>
      </c>
      <c r="J261" s="124">
        <f>CS_8!J7</f>
        <v>0</v>
      </c>
      <c r="K261" s="124">
        <f>CS_8!K7</f>
        <v>0</v>
      </c>
      <c r="L261" s="124">
        <f>CS_8!L7</f>
        <v>0</v>
      </c>
      <c r="M261" s="28">
        <f t="shared" si="62"/>
        <v>-1820</v>
      </c>
      <c r="N261" s="44" t="s">
        <v>106</v>
      </c>
      <c r="O261" s="30">
        <f t="shared" ref="O261:O262" si="63">AW260</f>
        <v>0</v>
      </c>
      <c r="P261" s="30">
        <f t="shared" ref="P261:P262" si="64">BB260</f>
        <v>0</v>
      </c>
      <c r="Q261" s="30">
        <f t="shared" ref="Q261:Q262" si="65">BG260</f>
        <v>0</v>
      </c>
      <c r="AB261" t="s">
        <v>72</v>
      </c>
      <c r="AC261" s="28">
        <f>C246</f>
        <v>0</v>
      </c>
      <c r="AD261" s="28"/>
      <c r="AE261" s="76">
        <v>0</v>
      </c>
      <c r="AF261" s="47">
        <f>-AG260</f>
        <v>9.9999999833333411E-5</v>
      </c>
      <c r="AG261" s="47">
        <f>AF260</f>
        <v>0.99999999500000003</v>
      </c>
      <c r="AH261" s="77">
        <v>0</v>
      </c>
      <c r="AI261" s="78"/>
      <c r="AJ261" s="47">
        <f>-SIN(AK258)</f>
        <v>-9.9999998833333415E-5</v>
      </c>
      <c r="AK261" s="47">
        <v>0</v>
      </c>
      <c r="AL261" s="47">
        <f>COS(AK258)</f>
        <v>0.99999999500000014</v>
      </c>
      <c r="AM261" s="47">
        <v>0</v>
      </c>
      <c r="AN261" s="78"/>
      <c r="AO261" s="47">
        <v>0</v>
      </c>
      <c r="AP261" s="47">
        <v>0</v>
      </c>
      <c r="AQ261" s="47">
        <v>1</v>
      </c>
      <c r="AR261" s="47">
        <v>0</v>
      </c>
      <c r="AS261" s="78"/>
      <c r="AT261" s="28" t="s">
        <v>65</v>
      </c>
      <c r="AU261" s="47">
        <v>0</v>
      </c>
      <c r="AV261" s="47">
        <f>AU261-$AC261</f>
        <v>0</v>
      </c>
      <c r="AW261" s="47">
        <f>AV261/AF258</f>
        <v>0</v>
      </c>
      <c r="AX261" s="78"/>
      <c r="AY261" s="28" t="s">
        <v>65</v>
      </c>
      <c r="AZ261" s="47">
        <v>0</v>
      </c>
      <c r="BA261" s="47">
        <f>AZ261-$AC261</f>
        <v>0</v>
      </c>
      <c r="BB261" s="47">
        <f>BA261/AK258</f>
        <v>0</v>
      </c>
      <c r="BC261" s="78"/>
      <c r="BD261" s="28" t="s">
        <v>65</v>
      </c>
      <c r="BE261" s="47">
        <v>0</v>
      </c>
      <c r="BF261" s="47">
        <f>BE261-$AC261</f>
        <v>0</v>
      </c>
      <c r="BG261" s="47">
        <f>BF261/AP258</f>
        <v>0</v>
      </c>
    </row>
    <row r="262" spans="1:62" ht="15" customHeight="1">
      <c r="A262" s="350"/>
      <c r="B262" s="39" t="s">
        <v>102</v>
      </c>
      <c r="C262" s="41">
        <v>1</v>
      </c>
      <c r="E262" s="4" t="s">
        <v>80</v>
      </c>
      <c r="F262" s="47">
        <v>0</v>
      </c>
      <c r="G262" s="124">
        <f>CS_8!G8</f>
        <v>0</v>
      </c>
      <c r="H262" s="124">
        <f>CS_8!H8</f>
        <v>0</v>
      </c>
      <c r="I262" s="124">
        <f>CS_8!I8</f>
        <v>0</v>
      </c>
      <c r="J262" s="124">
        <f>CS_8!J8</f>
        <v>0</v>
      </c>
      <c r="K262" s="124">
        <f>CS_8!K8</f>
        <v>0</v>
      </c>
      <c r="L262" s="124">
        <f>CS_8!L8</f>
        <v>0</v>
      </c>
      <c r="M262" s="28">
        <f>C263</f>
        <v>1320000</v>
      </c>
      <c r="N262" s="44" t="s">
        <v>107</v>
      </c>
      <c r="O262" s="30">
        <f t="shared" si="63"/>
        <v>0</v>
      </c>
      <c r="P262" s="30">
        <f t="shared" si="64"/>
        <v>0</v>
      </c>
      <c r="Q262" s="30">
        <f t="shared" si="65"/>
        <v>0</v>
      </c>
      <c r="AC262" s="28">
        <v>1</v>
      </c>
      <c r="AD262" s="28"/>
      <c r="AE262" s="76">
        <v>0</v>
      </c>
      <c r="AF262" s="47">
        <v>0</v>
      </c>
      <c r="AG262" s="47">
        <v>0</v>
      </c>
      <c r="AH262" s="77">
        <v>1</v>
      </c>
      <c r="AI262" s="78"/>
      <c r="AJ262" s="47">
        <v>0</v>
      </c>
      <c r="AK262" s="47">
        <v>0</v>
      </c>
      <c r="AL262" s="47">
        <v>0</v>
      </c>
      <c r="AM262" s="47">
        <v>1</v>
      </c>
      <c r="AN262" s="78"/>
      <c r="AO262" s="47">
        <v>0</v>
      </c>
      <c r="AP262" s="47">
        <v>0</v>
      </c>
      <c r="AQ262" s="47">
        <v>0</v>
      </c>
      <c r="AR262" s="47">
        <v>1</v>
      </c>
      <c r="AS262" s="78"/>
      <c r="AT262" s="28"/>
      <c r="AU262" s="47">
        <v>1</v>
      </c>
      <c r="AV262" s="47"/>
      <c r="AW262" s="47"/>
      <c r="AX262" s="78"/>
      <c r="AY262" s="28"/>
      <c r="AZ262" s="47">
        <v>1</v>
      </c>
      <c r="BA262" s="47"/>
      <c r="BB262" s="47"/>
      <c r="BC262" s="78"/>
      <c r="BD262" s="28"/>
      <c r="BE262" s="47">
        <v>1</v>
      </c>
      <c r="BF262" s="47"/>
      <c r="BG262" s="47"/>
    </row>
    <row r="263" spans="1:62" ht="15" customHeight="1">
      <c r="A263" s="350"/>
      <c r="B263" s="39" t="s">
        <v>98</v>
      </c>
      <c r="C263" s="41">
        <f t="array" ref="C263:C266">MMULT(O231:R234,E239:E242)</f>
        <v>1320000</v>
      </c>
      <c r="E263" s="4" t="s">
        <v>81</v>
      </c>
      <c r="F263" s="47">
        <v>0</v>
      </c>
      <c r="G263" s="124">
        <f>CS_8!G9</f>
        <v>0</v>
      </c>
      <c r="H263" s="124">
        <f>CS_8!H9</f>
        <v>0</v>
      </c>
      <c r="I263" s="124">
        <f>CS_8!I9</f>
        <v>0</v>
      </c>
      <c r="J263" s="124">
        <f>CS_8!J9</f>
        <v>0</v>
      </c>
      <c r="K263" s="124">
        <f>CS_8!K9</f>
        <v>0</v>
      </c>
      <c r="L263" s="124">
        <f>CS_8!L9</f>
        <v>0</v>
      </c>
      <c r="M263" s="28">
        <f>C264</f>
        <v>320000</v>
      </c>
      <c r="O263" s="3" t="s">
        <v>77</v>
      </c>
      <c r="T263" s="3" t="s">
        <v>78</v>
      </c>
      <c r="AE263" t="s">
        <v>90</v>
      </c>
      <c r="AJ263" t="s">
        <v>89</v>
      </c>
      <c r="AO263" t="s">
        <v>91</v>
      </c>
    </row>
    <row r="264" spans="1:62" ht="15" customHeight="1">
      <c r="A264" s="350"/>
      <c r="B264" s="39" t="s">
        <v>99</v>
      </c>
      <c r="C264" s="41">
        <v>320000</v>
      </c>
      <c r="E264" s="4" t="s">
        <v>82</v>
      </c>
      <c r="F264" s="47">
        <v>0</v>
      </c>
      <c r="G264" s="124">
        <f>CS_8!G10</f>
        <v>0</v>
      </c>
      <c r="H264" s="124">
        <f>CS_8!H10</f>
        <v>0</v>
      </c>
      <c r="I264" s="124">
        <f>CS_8!I10</f>
        <v>0</v>
      </c>
      <c r="J264" s="124">
        <f>CS_8!J10</f>
        <v>0</v>
      </c>
      <c r="K264" s="124">
        <f>CS_8!K10</f>
        <v>0</v>
      </c>
      <c r="L264" s="124">
        <f>CS_8!L10</f>
        <v>0</v>
      </c>
      <c r="M264" s="28">
        <f>C265</f>
        <v>0</v>
      </c>
      <c r="O264" s="30">
        <f t="array" ref="O264:R267">MMULT(AO264:AR267,MMULT(AJ264:AM267,AE264:AH267))</f>
        <v>1</v>
      </c>
      <c r="P264" s="30">
        <v>0</v>
      </c>
      <c r="Q264" s="30">
        <v>0</v>
      </c>
      <c r="R264" s="30">
        <v>0</v>
      </c>
      <c r="S264" s="11"/>
      <c r="T264" s="30">
        <f t="array" ref="T264:W267">IF(A285=1,MMULT(T297:W300,O264:R267),T$363:W$366)</f>
        <v>1</v>
      </c>
      <c r="U264" s="30">
        <v>0</v>
      </c>
      <c r="V264" s="30">
        <v>0</v>
      </c>
      <c r="W264" s="30">
        <v>0</v>
      </c>
      <c r="X264" s="30"/>
      <c r="Y264" s="30"/>
      <c r="Z264" s="30"/>
      <c r="AA264" s="30"/>
      <c r="AB264" t="s">
        <v>68</v>
      </c>
      <c r="AC264" s="28">
        <f t="array" ref="AC264:AC267">MMULT(O264:R267,AC259:AC262)</f>
        <v>0</v>
      </c>
      <c r="AD264" s="28"/>
      <c r="AE264" s="27">
        <v>1</v>
      </c>
      <c r="AF264" s="28">
        <v>0</v>
      </c>
      <c r="AG264" s="28">
        <v>0</v>
      </c>
      <c r="AH264" s="29">
        <v>0</v>
      </c>
      <c r="AJ264" s="27">
        <f>COS(PI()*C249/180)</f>
        <v>1</v>
      </c>
      <c r="AK264" s="28">
        <v>0</v>
      </c>
      <c r="AL264" s="28">
        <f>SIN(PI()*C249/180)</f>
        <v>0</v>
      </c>
      <c r="AM264" s="29">
        <v>0</v>
      </c>
      <c r="AO264" s="27">
        <f>COS(PI()*C250/180)</f>
        <v>1</v>
      </c>
      <c r="AP264" s="28">
        <f>-SIN(PI()*C250/180)</f>
        <v>0</v>
      </c>
      <c r="AQ264" s="28">
        <v>0</v>
      </c>
      <c r="AR264" s="29">
        <v>0</v>
      </c>
    </row>
    <row r="265" spans="1:62" ht="15" customHeight="1">
      <c r="A265" s="350"/>
      <c r="B265" s="39" t="s">
        <v>100</v>
      </c>
      <c r="C265" s="41">
        <v>0</v>
      </c>
      <c r="G265" s="105"/>
      <c r="H265" s="105"/>
      <c r="I265" s="105"/>
      <c r="J265" s="117"/>
      <c r="K265" s="117"/>
      <c r="L265" s="117"/>
      <c r="M265" s="117"/>
      <c r="O265" s="30">
        <v>0</v>
      </c>
      <c r="P265" s="30">
        <v>1</v>
      </c>
      <c r="Q265" s="30">
        <v>0</v>
      </c>
      <c r="R265" s="30">
        <v>0</v>
      </c>
      <c r="S265" s="11"/>
      <c r="T265" s="30">
        <v>0</v>
      </c>
      <c r="U265" s="30">
        <v>1</v>
      </c>
      <c r="V265" s="30">
        <v>0</v>
      </c>
      <c r="W265" s="30">
        <v>0</v>
      </c>
      <c r="X265" s="30"/>
      <c r="Y265" s="30"/>
      <c r="Z265" s="30"/>
      <c r="AA265" s="30"/>
      <c r="AB265" t="s">
        <v>69</v>
      </c>
      <c r="AC265" s="28">
        <v>0</v>
      </c>
      <c r="AD265" s="28"/>
      <c r="AE265" s="27">
        <v>0</v>
      </c>
      <c r="AF265" s="28">
        <f>COS(PI()*C248/180)</f>
        <v>1</v>
      </c>
      <c r="AG265" s="28">
        <f>-SIN(PI()*C248/180)</f>
        <v>0</v>
      </c>
      <c r="AH265" s="29">
        <v>0</v>
      </c>
      <c r="AJ265" s="27">
        <v>0</v>
      </c>
      <c r="AK265" s="28">
        <v>1</v>
      </c>
      <c r="AL265" s="28">
        <v>0</v>
      </c>
      <c r="AM265" s="29">
        <v>0</v>
      </c>
      <c r="AO265" s="27">
        <f>SIN(PI()*C250/180)</f>
        <v>0</v>
      </c>
      <c r="AP265" s="28">
        <f>AO264</f>
        <v>1</v>
      </c>
      <c r="AQ265" s="28">
        <v>0</v>
      </c>
      <c r="AR265" s="29">
        <v>0</v>
      </c>
    </row>
    <row r="266" spans="1:62" ht="15" customHeight="1">
      <c r="A266" s="350"/>
      <c r="B266" s="39" t="s">
        <v>102</v>
      </c>
      <c r="C266" s="41">
        <v>1</v>
      </c>
      <c r="G266" s="105"/>
      <c r="H266" s="105"/>
      <c r="I266" s="105"/>
      <c r="J266" s="117"/>
      <c r="K266" s="117"/>
      <c r="L266" s="117"/>
      <c r="M266" s="117"/>
      <c r="O266" s="30">
        <v>0</v>
      </c>
      <c r="P266" s="30">
        <v>0</v>
      </c>
      <c r="Q266" s="30">
        <v>1</v>
      </c>
      <c r="R266" s="30">
        <v>0</v>
      </c>
      <c r="S266" s="11"/>
      <c r="T266" s="30">
        <v>0</v>
      </c>
      <c r="U266" s="30">
        <v>0</v>
      </c>
      <c r="V266" s="30">
        <v>1</v>
      </c>
      <c r="W266" s="30">
        <v>0</v>
      </c>
      <c r="X266" s="30"/>
      <c r="Y266" s="30"/>
      <c r="Z266" s="30"/>
      <c r="AA266" s="30"/>
      <c r="AB266" t="s">
        <v>70</v>
      </c>
      <c r="AC266" s="28">
        <v>0</v>
      </c>
      <c r="AD266" s="28"/>
      <c r="AE266" s="27">
        <v>0</v>
      </c>
      <c r="AF266" s="28">
        <f>SIN(PI()*C248/180)</f>
        <v>0</v>
      </c>
      <c r="AG266" s="28">
        <f>AF265</f>
        <v>1</v>
      </c>
      <c r="AH266" s="29">
        <v>0</v>
      </c>
      <c r="AJ266" s="27">
        <f>-SIN(PI()*C249/180)</f>
        <v>0</v>
      </c>
      <c r="AK266" s="28">
        <v>0</v>
      </c>
      <c r="AL266" s="28">
        <f>AJ264</f>
        <v>1</v>
      </c>
      <c r="AM266" s="29">
        <v>0</v>
      </c>
      <c r="AO266" s="27">
        <v>0</v>
      </c>
      <c r="AP266" s="28">
        <v>0</v>
      </c>
      <c r="AQ266" s="28">
        <v>1</v>
      </c>
      <c r="AR266" s="29">
        <v>0</v>
      </c>
    </row>
    <row r="267" spans="1:62" s="114" customFormat="1">
      <c r="A267" s="350"/>
      <c r="B267" s="75" t="s">
        <v>173</v>
      </c>
      <c r="C267"/>
      <c r="D267" s="87" t="s">
        <v>232</v>
      </c>
      <c r="E267"/>
      <c r="G267" s="119"/>
      <c r="H267" s="119"/>
      <c r="I267" s="119"/>
      <c r="J267" s="126"/>
      <c r="K267" s="126"/>
      <c r="L267" s="126"/>
      <c r="M267" s="126"/>
      <c r="O267" s="115">
        <v>0</v>
      </c>
      <c r="P267" s="115">
        <v>0</v>
      </c>
      <c r="Q267" s="115">
        <v>0</v>
      </c>
      <c r="R267" s="115">
        <v>1</v>
      </c>
      <c r="S267" s="116"/>
      <c r="T267" s="115">
        <v>0</v>
      </c>
      <c r="U267" s="115">
        <v>0</v>
      </c>
      <c r="V267" s="115">
        <v>0</v>
      </c>
      <c r="W267" s="115">
        <v>1</v>
      </c>
      <c r="X267" s="115"/>
      <c r="Y267" s="115"/>
      <c r="Z267" s="115"/>
      <c r="AA267" s="115"/>
      <c r="AC267" s="31">
        <v>1</v>
      </c>
      <c r="AD267" s="31"/>
      <c r="AE267" s="31">
        <v>0</v>
      </c>
      <c r="AF267" s="31">
        <v>0</v>
      </c>
      <c r="AG267" s="31">
        <v>0</v>
      </c>
      <c r="AH267" s="31">
        <v>1</v>
      </c>
      <c r="AJ267" s="31">
        <v>0</v>
      </c>
      <c r="AK267" s="31">
        <v>0</v>
      </c>
      <c r="AL267" s="31">
        <v>0</v>
      </c>
      <c r="AM267" s="31">
        <v>1</v>
      </c>
      <c r="AO267" s="31">
        <v>0</v>
      </c>
      <c r="AP267" s="31">
        <v>0</v>
      </c>
      <c r="AQ267" s="31">
        <v>0</v>
      </c>
      <c r="AR267" s="31">
        <v>1</v>
      </c>
    </row>
    <row r="268" spans="1:62" s="114" customFormat="1" ht="17">
      <c r="A268" s="350"/>
      <c r="B268" s="39" t="s">
        <v>95</v>
      </c>
      <c r="C268" s="40">
        <v>0</v>
      </c>
      <c r="D268" s="39" t="s">
        <v>95</v>
      </c>
      <c r="E268" s="41">
        <f>C259+C268</f>
        <v>0</v>
      </c>
      <c r="F268" s="122"/>
      <c r="G268" s="126"/>
      <c r="H268" s="129"/>
      <c r="I268" s="126"/>
      <c r="J268" s="126"/>
      <c r="K268" s="126"/>
      <c r="L268" s="126"/>
      <c r="M268" s="126"/>
      <c r="O268" s="115"/>
      <c r="P268" s="115"/>
      <c r="Q268" s="115"/>
      <c r="R268" s="115"/>
      <c r="S268" s="116"/>
      <c r="T268" s="115"/>
      <c r="U268" s="115"/>
      <c r="V268" s="115"/>
      <c r="W268" s="115"/>
      <c r="X268" s="115"/>
      <c r="Y268" s="115"/>
      <c r="Z268" s="115"/>
      <c r="AA268" s="115"/>
      <c r="AC268" s="31"/>
      <c r="AD268" s="31"/>
      <c r="AE268" s="31"/>
      <c r="AF268" s="31"/>
      <c r="AG268" s="31"/>
      <c r="AH268" s="31"/>
      <c r="AJ268" s="31"/>
      <c r="AK268" s="31"/>
      <c r="AL268" s="31"/>
      <c r="AM268" s="31"/>
      <c r="AO268" s="31"/>
      <c r="AP268" s="31"/>
      <c r="AQ268" s="31"/>
      <c r="AR268" s="31"/>
    </row>
    <row r="269" spans="1:62" s="114" customFormat="1" ht="17">
      <c r="A269" s="350"/>
      <c r="B269" s="39" t="s">
        <v>96</v>
      </c>
      <c r="C269" s="40">
        <v>0</v>
      </c>
      <c r="D269" s="39" t="s">
        <v>96</v>
      </c>
      <c r="E269" s="41">
        <f>C260+C269</f>
        <v>0</v>
      </c>
      <c r="F269" s="122"/>
      <c r="G269" s="126"/>
      <c r="H269" s="129"/>
      <c r="I269" s="126"/>
      <c r="J269" s="126"/>
      <c r="K269" s="126"/>
      <c r="L269" s="126"/>
      <c r="M269" s="126"/>
      <c r="O269" s="115"/>
      <c r="P269" s="115"/>
      <c r="Q269" s="115"/>
      <c r="R269" s="115"/>
      <c r="S269" s="116"/>
      <c r="T269" s="115"/>
      <c r="U269" s="115"/>
      <c r="V269" s="115"/>
      <c r="W269" s="115"/>
      <c r="X269" s="115"/>
      <c r="Y269" s="115"/>
      <c r="Z269" s="115"/>
      <c r="AA269" s="115"/>
      <c r="AC269" s="31"/>
      <c r="AD269" s="31"/>
      <c r="AE269" s="31"/>
      <c r="AF269" s="31"/>
      <c r="AG269" s="31"/>
      <c r="AH269" s="31"/>
      <c r="AJ269" s="31"/>
      <c r="AK269" s="31"/>
      <c r="AL269" s="31"/>
      <c r="AM269" s="31"/>
      <c r="AO269" s="31"/>
      <c r="AP269" s="31"/>
      <c r="AQ269" s="31"/>
      <c r="AR269" s="31"/>
    </row>
    <row r="270" spans="1:62" s="114" customFormat="1" ht="17">
      <c r="A270" s="350"/>
      <c r="B270" s="39" t="s">
        <v>97</v>
      </c>
      <c r="C270" s="40">
        <v>0</v>
      </c>
      <c r="D270" s="39" t="s">
        <v>97</v>
      </c>
      <c r="E270" s="41">
        <f>C261+C270</f>
        <v>-1820</v>
      </c>
      <c r="F270" s="122"/>
      <c r="G270" s="126"/>
      <c r="H270" s="129"/>
      <c r="I270" s="126"/>
      <c r="J270" s="126"/>
      <c r="K270" s="126"/>
      <c r="L270" s="126"/>
      <c r="M270" s="126"/>
      <c r="O270" s="115"/>
      <c r="P270" s="115"/>
      <c r="Q270" s="115"/>
      <c r="R270" s="115"/>
      <c r="S270" s="116"/>
      <c r="T270" s="115"/>
      <c r="U270" s="115"/>
      <c r="V270" s="115"/>
      <c r="W270" s="115"/>
      <c r="X270" s="115"/>
      <c r="Y270" s="115"/>
      <c r="Z270" s="115"/>
      <c r="AA270" s="115"/>
      <c r="AC270" s="31"/>
      <c r="AD270" s="31"/>
      <c r="AE270" s="31"/>
      <c r="AF270" s="31"/>
      <c r="AG270" s="31"/>
      <c r="AH270" s="31"/>
      <c r="AJ270" s="31"/>
      <c r="AK270" s="31"/>
      <c r="AL270" s="31"/>
      <c r="AM270" s="31"/>
      <c r="AO270" s="31"/>
      <c r="AP270" s="31"/>
      <c r="AQ270" s="31"/>
      <c r="AR270" s="31"/>
    </row>
    <row r="271" spans="1:62" s="114" customFormat="1" ht="17">
      <c r="A271" s="350"/>
      <c r="B271" s="122" t="s">
        <v>102</v>
      </c>
      <c r="C271" s="123">
        <v>1</v>
      </c>
      <c r="D271" s="122" t="s">
        <v>102</v>
      </c>
      <c r="E271" s="123">
        <v>1</v>
      </c>
      <c r="F271" s="122"/>
      <c r="G271" s="126"/>
      <c r="H271" s="129"/>
      <c r="I271" s="126"/>
      <c r="J271" s="126"/>
      <c r="K271" s="126"/>
      <c r="L271" s="126"/>
      <c r="M271" s="126"/>
      <c r="O271" s="115"/>
      <c r="P271" s="115"/>
      <c r="Q271" s="115"/>
      <c r="R271" s="115"/>
      <c r="S271" s="116"/>
      <c r="T271" s="115"/>
      <c r="U271" s="115"/>
      <c r="V271" s="115"/>
      <c r="W271" s="115"/>
      <c r="X271" s="115"/>
      <c r="Y271" s="115"/>
      <c r="Z271" s="115"/>
      <c r="AA271" s="115"/>
      <c r="AC271" s="31"/>
      <c r="AD271" s="31"/>
      <c r="AE271" s="31"/>
      <c r="AF271" s="31"/>
      <c r="AG271" s="31"/>
      <c r="AH271" s="31"/>
      <c r="AJ271" s="31"/>
      <c r="AK271" s="31"/>
      <c r="AL271" s="31"/>
      <c r="AM271" s="31"/>
      <c r="AO271" s="31"/>
      <c r="AP271" s="31"/>
      <c r="AQ271" s="31"/>
      <c r="AR271" s="31"/>
    </row>
    <row r="272" spans="1:62" s="114" customFormat="1" ht="17">
      <c r="A272" s="350"/>
      <c r="B272" s="39" t="s">
        <v>98</v>
      </c>
      <c r="C272" s="40">
        <v>0</v>
      </c>
      <c r="D272" s="39" t="s">
        <v>98</v>
      </c>
      <c r="E272" s="41">
        <f>C263+C272+C261*C219-C260*C220</f>
        <v>1320000</v>
      </c>
      <c r="F272" s="122"/>
      <c r="G272" s="126"/>
      <c r="H272" s="129"/>
      <c r="I272" s="126"/>
      <c r="J272" s="126"/>
      <c r="K272" s="126"/>
      <c r="L272" s="126"/>
      <c r="M272" s="126"/>
      <c r="O272" s="115"/>
      <c r="P272" s="115"/>
      <c r="Q272" s="115"/>
      <c r="R272" s="115"/>
      <c r="S272" s="116"/>
      <c r="T272" s="115"/>
      <c r="U272" s="115"/>
      <c r="V272" s="115"/>
      <c r="W272" s="115"/>
      <c r="X272" s="115"/>
      <c r="Y272" s="115"/>
      <c r="Z272" s="115"/>
      <c r="AA272" s="115"/>
      <c r="AC272" s="31"/>
      <c r="AD272" s="31"/>
      <c r="AE272" s="31"/>
      <c r="AF272" s="31"/>
      <c r="AG272" s="31"/>
      <c r="AH272" s="31"/>
      <c r="AJ272" s="31"/>
      <c r="AK272" s="31"/>
      <c r="AL272" s="31"/>
      <c r="AM272" s="31"/>
      <c r="AO272" s="31"/>
      <c r="AP272" s="31"/>
      <c r="AQ272" s="31"/>
      <c r="AR272" s="31"/>
    </row>
    <row r="273" spans="1:44" s="114" customFormat="1" ht="17">
      <c r="A273" s="350"/>
      <c r="B273" s="39" t="s">
        <v>99</v>
      </c>
      <c r="C273" s="40">
        <v>0</v>
      </c>
      <c r="D273" s="39" t="s">
        <v>99</v>
      </c>
      <c r="E273" s="41">
        <f>C264+C273+C259*C220-C261*C218</f>
        <v>320000</v>
      </c>
      <c r="F273" s="122"/>
      <c r="G273" s="126"/>
      <c r="H273" s="129"/>
      <c r="I273" s="126"/>
      <c r="J273" s="126"/>
      <c r="K273" s="126"/>
      <c r="L273" s="126"/>
      <c r="M273" s="126"/>
      <c r="O273" s="115"/>
      <c r="P273" s="115"/>
      <c r="Q273" s="115"/>
      <c r="R273" s="115"/>
      <c r="S273" s="116"/>
      <c r="T273" s="115"/>
      <c r="U273" s="115"/>
      <c r="V273" s="115"/>
      <c r="W273" s="115"/>
      <c r="X273" s="115"/>
      <c r="Y273" s="115"/>
      <c r="Z273" s="115"/>
      <c r="AA273" s="115"/>
      <c r="AC273" s="31"/>
      <c r="AD273" s="31"/>
      <c r="AE273" s="31"/>
      <c r="AF273" s="31"/>
      <c r="AG273" s="31"/>
      <c r="AH273" s="31"/>
      <c r="AJ273" s="31"/>
      <c r="AK273" s="31"/>
      <c r="AL273" s="31"/>
      <c r="AM273" s="31"/>
      <c r="AO273" s="31"/>
      <c r="AP273" s="31"/>
      <c r="AQ273" s="31"/>
      <c r="AR273" s="31"/>
    </row>
    <row r="274" spans="1:44" s="114" customFormat="1" ht="17">
      <c r="A274" s="350"/>
      <c r="B274" s="39" t="s">
        <v>100</v>
      </c>
      <c r="C274" s="40">
        <v>0</v>
      </c>
      <c r="D274" s="39" t="s">
        <v>100</v>
      </c>
      <c r="E274" s="41">
        <f>C265+C274+C260*C218-C259*C219</f>
        <v>0</v>
      </c>
      <c r="F274" s="122"/>
      <c r="G274" s="126"/>
      <c r="H274" s="129"/>
      <c r="I274" s="126"/>
      <c r="J274" s="126"/>
      <c r="K274" s="126"/>
      <c r="L274" s="126"/>
      <c r="M274" s="126"/>
      <c r="O274" s="115"/>
      <c r="P274" s="115"/>
      <c r="Q274" s="115"/>
      <c r="R274" s="115"/>
      <c r="S274" s="116"/>
      <c r="T274" s="115"/>
      <c r="U274" s="115"/>
      <c r="V274" s="115"/>
      <c r="W274" s="115"/>
      <c r="X274" s="115"/>
      <c r="Y274" s="115"/>
      <c r="Z274" s="115"/>
      <c r="AA274" s="115"/>
      <c r="AC274" s="31"/>
      <c r="AD274" s="31"/>
      <c r="AE274" s="31"/>
      <c r="AF274" s="31"/>
      <c r="AG274" s="31"/>
      <c r="AH274" s="31"/>
      <c r="AJ274" s="31"/>
      <c r="AK274" s="31"/>
      <c r="AL274" s="31"/>
      <c r="AM274" s="31"/>
      <c r="AO274" s="31"/>
      <c r="AP274" s="31"/>
      <c r="AQ274" s="31"/>
      <c r="AR274" s="31"/>
    </row>
    <row r="275" spans="1:44" s="50" customFormat="1" ht="18" thickBot="1">
      <c r="A275" s="351"/>
      <c r="B275" s="55" t="s">
        <v>102</v>
      </c>
      <c r="C275" s="56">
        <v>1</v>
      </c>
      <c r="D275" s="55" t="s">
        <v>102</v>
      </c>
      <c r="E275" s="56">
        <v>1</v>
      </c>
      <c r="F275" s="55"/>
      <c r="G275" s="127"/>
      <c r="H275" s="130"/>
      <c r="I275" s="127"/>
      <c r="J275" s="127"/>
      <c r="K275" s="127"/>
      <c r="L275" s="127"/>
      <c r="M275" s="127"/>
      <c r="O275" s="51"/>
      <c r="P275" s="51"/>
      <c r="Q275" s="51"/>
      <c r="R275" s="51"/>
      <c r="S275" s="52"/>
      <c r="T275" s="51"/>
      <c r="U275" s="51"/>
      <c r="V275" s="51"/>
      <c r="W275" s="51"/>
      <c r="X275" s="51"/>
      <c r="Y275" s="51"/>
      <c r="Z275" s="51"/>
      <c r="AA275" s="51"/>
      <c r="AC275" s="53"/>
      <c r="AD275" s="53"/>
      <c r="AE275" s="53"/>
      <c r="AF275" s="53"/>
      <c r="AG275" s="53"/>
      <c r="AH275" s="53"/>
      <c r="AJ275" s="53"/>
      <c r="AK275" s="53"/>
      <c r="AL275" s="53"/>
      <c r="AM275" s="53"/>
      <c r="AO275" s="53"/>
      <c r="AP275" s="53"/>
      <c r="AQ275" s="53"/>
      <c r="AR275" s="53"/>
    </row>
    <row r="276" spans="1:44" ht="15" customHeight="1">
      <c r="A276" s="348" t="s">
        <v>315</v>
      </c>
      <c r="B276" s="66" t="s">
        <v>236</v>
      </c>
      <c r="E276" s="1" t="s">
        <v>140</v>
      </c>
    </row>
    <row r="277" spans="1:44" ht="15" customHeight="1">
      <c r="A277" s="348"/>
      <c r="B277" s="12" t="s">
        <v>73</v>
      </c>
      <c r="C277" s="54">
        <f>C255</f>
        <v>10</v>
      </c>
      <c r="E277" s="336" t="s">
        <v>130</v>
      </c>
      <c r="F277" s="336"/>
      <c r="G277" s="336" t="s">
        <v>131</v>
      </c>
      <c r="H277" s="336"/>
      <c r="N277" s="33" t="s">
        <v>93</v>
      </c>
      <c r="O277" s="1"/>
      <c r="P277" s="65"/>
      <c r="Q277" s="1"/>
      <c r="R277" s="1"/>
      <c r="S277" s="33" t="s">
        <v>128</v>
      </c>
      <c r="Y277" s="90" t="s">
        <v>283</v>
      </c>
    </row>
    <row r="278" spans="1:44" ht="15" customHeight="1">
      <c r="A278" s="348"/>
      <c r="B278" s="12" t="s">
        <v>74</v>
      </c>
      <c r="C278" s="54">
        <f>C256</f>
        <v>0</v>
      </c>
      <c r="E278" s="44" t="s">
        <v>79</v>
      </c>
      <c r="F278" s="46">
        <f>CS_9!B45</f>
        <v>5.0000000000000001E-3</v>
      </c>
      <c r="G278" s="44" t="s">
        <v>79</v>
      </c>
      <c r="H278" s="46">
        <f>CS_9!B52</f>
        <v>0</v>
      </c>
      <c r="O278" t="s">
        <v>83</v>
      </c>
      <c r="P278" s="7" t="s">
        <v>84</v>
      </c>
      <c r="Q278" s="25" t="s">
        <v>85</v>
      </c>
      <c r="R278" s="25" t="s">
        <v>86</v>
      </c>
      <c r="T278" t="s">
        <v>83</v>
      </c>
      <c r="U278" s="7" t="s">
        <v>84</v>
      </c>
      <c r="V278" s="25" t="s">
        <v>85</v>
      </c>
      <c r="W278" s="25" t="s">
        <v>86</v>
      </c>
      <c r="Y278" t="s">
        <v>83</v>
      </c>
      <c r="Z278" s="7" t="s">
        <v>84</v>
      </c>
      <c r="AA278" s="25" t="s">
        <v>85</v>
      </c>
      <c r="AB278" s="25" t="s">
        <v>86</v>
      </c>
    </row>
    <row r="279" spans="1:44" ht="15" customHeight="1">
      <c r="A279" s="348"/>
      <c r="B279" s="12" t="s">
        <v>75</v>
      </c>
      <c r="C279" s="54">
        <f>C257</f>
        <v>0</v>
      </c>
      <c r="E279" s="44" t="s">
        <v>106</v>
      </c>
      <c r="F279" s="46">
        <f>CS_9!B46</f>
        <v>5.0000000000000001E-3</v>
      </c>
      <c r="G279" s="44" t="s">
        <v>106</v>
      </c>
      <c r="H279" s="46">
        <f>CS_9!B53</f>
        <v>0</v>
      </c>
      <c r="N279" s="44" t="s">
        <v>79</v>
      </c>
      <c r="O279" s="48">
        <f>ABS(F278)</f>
        <v>5.0000000000000001E-3</v>
      </c>
      <c r="P279" s="48">
        <f>ABS(F281*O293)</f>
        <v>0</v>
      </c>
      <c r="Q279" s="48">
        <f>ABS(F282*P293)</f>
        <v>4.9999998807948032E-8</v>
      </c>
      <c r="R279" s="48">
        <f>ABS(F283*Q293)</f>
        <v>5.0000000584304878E-8</v>
      </c>
      <c r="S279" s="44" t="s">
        <v>79</v>
      </c>
      <c r="T279" s="47">
        <f t="array" ref="T279:W282">ABS(MMULT(T297:W300,O279:R282))</f>
        <v>5.0000000000000001E-3</v>
      </c>
      <c r="U279" s="47">
        <v>0</v>
      </c>
      <c r="V279" s="47">
        <v>4.9999998807948032E-8</v>
      </c>
      <c r="W279" s="47">
        <v>5.0000000584304878E-8</v>
      </c>
      <c r="X279" s="68" t="s">
        <v>79</v>
      </c>
      <c r="Y279" s="47">
        <f>F285+F292</f>
        <v>0</v>
      </c>
      <c r="Z279" s="28">
        <f>F288*O293</f>
        <v>0</v>
      </c>
      <c r="AA279" s="28">
        <f>F289*P293</f>
        <v>-2.5602624002949389E-8</v>
      </c>
      <c r="AB279" s="28">
        <f>F290*Q293</f>
        <v>0</v>
      </c>
    </row>
    <row r="280" spans="1:44" ht="15" customHeight="1">
      <c r="A280" s="58">
        <v>9</v>
      </c>
      <c r="B280" s="1" t="s">
        <v>76</v>
      </c>
      <c r="E280" s="44" t="s">
        <v>107</v>
      </c>
      <c r="F280" s="46">
        <f>CS_9!B47</f>
        <v>5.0000000000000001E-3</v>
      </c>
      <c r="G280" s="44" t="s">
        <v>107</v>
      </c>
      <c r="H280" s="46">
        <f>CS_9!B54</f>
        <v>0</v>
      </c>
      <c r="N280" s="44" t="s">
        <v>106</v>
      </c>
      <c r="O280" s="48">
        <f t="shared" ref="O280:O281" si="66">ABS(F279)</f>
        <v>5.0000000000000001E-3</v>
      </c>
      <c r="P280" s="48">
        <f>ABS(F281*O294)</f>
        <v>0</v>
      </c>
      <c r="Q280" s="48">
        <f>ABS(F282*P294)</f>
        <v>0</v>
      </c>
      <c r="R280" s="48">
        <f>ABS(F283*Q294)</f>
        <v>9.9999999833333408E-4</v>
      </c>
      <c r="S280" s="44" t="s">
        <v>106</v>
      </c>
      <c r="T280" s="47">
        <v>5.0000000000000001E-3</v>
      </c>
      <c r="U280" s="47">
        <v>0</v>
      </c>
      <c r="V280" s="47">
        <v>0</v>
      </c>
      <c r="W280" s="47">
        <v>9.9999999833333408E-4</v>
      </c>
      <c r="X280" s="68" t="s">
        <v>106</v>
      </c>
      <c r="Y280" s="47">
        <f t="shared" ref="Y280:Y281" si="67">F286+F293</f>
        <v>0</v>
      </c>
      <c r="Z280" s="28">
        <f>F288*O294</f>
        <v>0</v>
      </c>
      <c r="AA280" s="28">
        <f>F289*P294</f>
        <v>0</v>
      </c>
      <c r="AB280" s="28">
        <f>F290*Q294</f>
        <v>0</v>
      </c>
    </row>
    <row r="281" spans="1:44" ht="15" customHeight="1">
      <c r="A281" s="41">
        <f>IF(A280&gt;Naxes,0,1)</f>
        <v>0</v>
      </c>
      <c r="B281" s="2" t="s">
        <v>168</v>
      </c>
      <c r="C281" s="35">
        <v>0</v>
      </c>
      <c r="E281" s="4" t="s">
        <v>80</v>
      </c>
      <c r="F281" s="46">
        <f>CS_9!B48</f>
        <v>1.0000000000000007E-4</v>
      </c>
      <c r="G281" s="4" t="s">
        <v>80</v>
      </c>
      <c r="H281" s="46">
        <f>CS_9!B55</f>
        <v>0</v>
      </c>
      <c r="N281" s="44" t="s">
        <v>107</v>
      </c>
      <c r="O281" s="48">
        <f t="shared" si="66"/>
        <v>5.0000000000000001E-3</v>
      </c>
      <c r="P281" s="48">
        <f>ABS(F281*O295)</f>
        <v>0</v>
      </c>
      <c r="Q281" s="48">
        <f>ABS(F282*P295)</f>
        <v>9.9999998833333412E-4</v>
      </c>
      <c r="R281" s="48">
        <f>ABS(F283*Q295)</f>
        <v>0</v>
      </c>
      <c r="S281" s="44" t="s">
        <v>107</v>
      </c>
      <c r="T281" s="47">
        <v>5.0000000000000001E-3</v>
      </c>
      <c r="U281" s="47">
        <v>0</v>
      </c>
      <c r="V281" s="47">
        <v>9.9999998833333412E-4</v>
      </c>
      <c r="W281" s="47">
        <v>0</v>
      </c>
      <c r="X281" s="68" t="s">
        <v>107</v>
      </c>
      <c r="Y281" s="47">
        <f t="shared" si="67"/>
        <v>-7.0324574961360125E-4</v>
      </c>
      <c r="Z281" s="28">
        <f>F288*O295</f>
        <v>0</v>
      </c>
      <c r="AA281" s="28">
        <f>F289*P295</f>
        <v>-5.1205248629290605E-4</v>
      </c>
      <c r="AB281" s="28">
        <f>F290*Q295</f>
        <v>0</v>
      </c>
    </row>
    <row r="282" spans="1:44" ht="15" customHeight="1">
      <c r="A282" s="346" t="s">
        <v>121</v>
      </c>
      <c r="B282" s="2" t="s">
        <v>170</v>
      </c>
      <c r="C282" s="35">
        <v>0</v>
      </c>
      <c r="E282" s="4" t="s">
        <v>81</v>
      </c>
      <c r="F282" s="46">
        <f>CS_9!B49</f>
        <v>9.9999999000000077E-5</v>
      </c>
      <c r="G282" s="4" t="s">
        <v>81</v>
      </c>
      <c r="H282" s="46">
        <f>CS_9!B56</f>
        <v>0</v>
      </c>
      <c r="N282" s="6" t="s">
        <v>102</v>
      </c>
      <c r="O282" s="28">
        <v>1</v>
      </c>
      <c r="P282" s="28">
        <v>1</v>
      </c>
      <c r="Q282" s="28">
        <v>1</v>
      </c>
      <c r="R282" s="28">
        <v>1</v>
      </c>
      <c r="S282" s="6" t="s">
        <v>102</v>
      </c>
      <c r="T282" s="47">
        <v>1</v>
      </c>
      <c r="U282" s="47">
        <v>1</v>
      </c>
      <c r="V282" s="47">
        <v>1</v>
      </c>
      <c r="W282" s="47">
        <v>1</v>
      </c>
      <c r="X282" s="6" t="s">
        <v>102</v>
      </c>
      <c r="Y282" s="28">
        <v>1</v>
      </c>
      <c r="Z282" s="28">
        <v>1</v>
      </c>
      <c r="AA282" s="28">
        <v>1</v>
      </c>
      <c r="AB282" s="28">
        <v>1</v>
      </c>
    </row>
    <row r="283" spans="1:44" ht="15" customHeight="1">
      <c r="A283" s="346"/>
      <c r="B283" s="2" t="s">
        <v>169</v>
      </c>
      <c r="C283" s="35">
        <v>0</v>
      </c>
      <c r="E283" s="4" t="s">
        <v>82</v>
      </c>
      <c r="F283" s="46">
        <f>CS_9!B50</f>
        <v>1.0000000000000007E-4</v>
      </c>
      <c r="G283" s="4" t="s">
        <v>82</v>
      </c>
      <c r="H283" s="46">
        <f>CS_9!B57</f>
        <v>0</v>
      </c>
      <c r="X283" s="6"/>
    </row>
    <row r="284" spans="1:44" ht="33" customHeight="1">
      <c r="A284" s="346"/>
      <c r="B284" s="2" t="s">
        <v>402</v>
      </c>
      <c r="C284" s="35">
        <v>10</v>
      </c>
      <c r="D284" s="356" t="s">
        <v>416</v>
      </c>
      <c r="E284" s="347" t="s">
        <v>289</v>
      </c>
      <c r="F284" s="347"/>
      <c r="G284" s="336" t="s">
        <v>237</v>
      </c>
      <c r="H284" s="336"/>
      <c r="I284" s="347" t="s">
        <v>292</v>
      </c>
      <c r="J284" s="347"/>
      <c r="K284" s="347" t="s">
        <v>290</v>
      </c>
      <c r="L284" s="347"/>
      <c r="N284" s="33" t="s">
        <v>94</v>
      </c>
      <c r="O284" s="1"/>
      <c r="P284" s="65"/>
      <c r="Q284" s="1"/>
      <c r="R284" s="1"/>
      <c r="S284" s="33" t="s">
        <v>129</v>
      </c>
      <c r="X284" s="6"/>
      <c r="Y284" s="90" t="s">
        <v>282</v>
      </c>
    </row>
    <row r="285" spans="1:44" ht="15" customHeight="1">
      <c r="A285" s="346"/>
      <c r="B285" s="2" t="s">
        <v>403</v>
      </c>
      <c r="C285" s="36">
        <v>0</v>
      </c>
      <c r="D285" s="356"/>
      <c r="E285" s="44" t="s">
        <v>79</v>
      </c>
      <c r="F285" s="47">
        <f>E301/IF(H285=0,1000000000000,H285)</f>
        <v>0</v>
      </c>
      <c r="G285" s="4" t="s">
        <v>111</v>
      </c>
      <c r="H285" s="28">
        <f>CS_9!B25</f>
        <v>6785.8401317539538</v>
      </c>
      <c r="I285" s="4" t="s">
        <v>80</v>
      </c>
      <c r="J285" s="47">
        <f>A314*F328</f>
        <v>0</v>
      </c>
      <c r="K285" s="4" t="s">
        <v>80</v>
      </c>
      <c r="L285" s="131">
        <f t="array" ref="L285:L288">MMULT(MINVERSE(O297:R300),J285:J288)</f>
        <v>0</v>
      </c>
      <c r="O285" t="s">
        <v>83</v>
      </c>
      <c r="P285" s="7" t="s">
        <v>84</v>
      </c>
      <c r="Q285" s="25" t="s">
        <v>85</v>
      </c>
      <c r="R285" s="25" t="s">
        <v>86</v>
      </c>
      <c r="T285" t="s">
        <v>83</v>
      </c>
      <c r="U285" s="7" t="s">
        <v>84</v>
      </c>
      <c r="V285" s="25" t="s">
        <v>85</v>
      </c>
      <c r="W285" s="25" t="s">
        <v>86</v>
      </c>
      <c r="X285" s="6"/>
      <c r="Y285" t="s">
        <v>83</v>
      </c>
      <c r="Z285" s="7" t="s">
        <v>84</v>
      </c>
      <c r="AA285" s="25" t="s">
        <v>85</v>
      </c>
      <c r="AB285" s="25" t="s">
        <v>86</v>
      </c>
    </row>
    <row r="286" spans="1:44" ht="15" customHeight="1">
      <c r="A286" s="362" t="s">
        <v>440</v>
      </c>
      <c r="B286" s="2" t="s">
        <v>404</v>
      </c>
      <c r="C286" s="35">
        <v>0</v>
      </c>
      <c r="D286" s="356"/>
      <c r="E286" s="44" t="s">
        <v>106</v>
      </c>
      <c r="F286" s="47">
        <f t="shared" ref="F286:F287" si="68">E302/IF(H286=0,1000000000000,H286)</f>
        <v>0</v>
      </c>
      <c r="G286" s="4" t="s">
        <v>112</v>
      </c>
      <c r="H286" s="28">
        <f>CS_9!B26</f>
        <v>2588000</v>
      </c>
      <c r="I286" s="4" t="s">
        <v>81</v>
      </c>
      <c r="J286" s="47">
        <f>A314*F329</f>
        <v>0</v>
      </c>
      <c r="K286" s="4" t="s">
        <v>81</v>
      </c>
      <c r="L286" s="131">
        <v>0</v>
      </c>
      <c r="N286" s="44" t="s">
        <v>79</v>
      </c>
      <c r="O286" s="48">
        <f>H278</f>
        <v>0</v>
      </c>
      <c r="P286" s="48">
        <f>H281*O293</f>
        <v>0</v>
      </c>
      <c r="Q286" s="48">
        <f>H282*P293</f>
        <v>0</v>
      </c>
      <c r="R286" s="48">
        <f>H283*Q293</f>
        <v>0</v>
      </c>
      <c r="S286" s="44" t="s">
        <v>79</v>
      </c>
      <c r="T286" s="48">
        <f t="array" ref="T286:T289">MMULT(T297:W300,O286:O289)</f>
        <v>0</v>
      </c>
      <c r="U286" s="48">
        <f t="array" ref="U286:U289">MMULT(T297:W300,P286:P289)</f>
        <v>0</v>
      </c>
      <c r="V286" s="48">
        <f t="array" ref="V286:V289">MMULT(T297:W300,Q286:Q289)</f>
        <v>0</v>
      </c>
      <c r="W286" s="48">
        <f t="array" ref="W286:W289">MMULT(T297:W300,R286:R289)</f>
        <v>0</v>
      </c>
      <c r="X286" s="68" t="s">
        <v>79</v>
      </c>
      <c r="Y286" s="28">
        <f t="array" ref="Y286:Y289">MMULT(T297:W300,Y279:Y282)</f>
        <v>0</v>
      </c>
      <c r="Z286" s="28">
        <f t="array" ref="Z286:Z289">MMULT(T297:W300,Z279:Z282)</f>
        <v>0</v>
      </c>
      <c r="AA286" s="28">
        <f t="array" ref="AA286:AA289">MMULT(T297:W300,AA279:AA282)</f>
        <v>-2.5602624002949389E-8</v>
      </c>
      <c r="AB286" s="28">
        <f t="array" ref="AB286:AB289">MMULT(T297:W300,AB279:AB282)</f>
        <v>0</v>
      </c>
    </row>
    <row r="287" spans="1:44" ht="15" customHeight="1">
      <c r="A287" s="362"/>
      <c r="B287" s="297" t="s">
        <v>391</v>
      </c>
      <c r="E287" s="44" t="s">
        <v>107</v>
      </c>
      <c r="F287" s="47">
        <f t="shared" si="68"/>
        <v>-7.0324574961360125E-4</v>
      </c>
      <c r="G287" s="4" t="s">
        <v>113</v>
      </c>
      <c r="H287" s="28">
        <f>CS_9!B27</f>
        <v>2588000</v>
      </c>
      <c r="I287" s="4" t="s">
        <v>82</v>
      </c>
      <c r="J287" s="47">
        <f>A314*F330</f>
        <v>0</v>
      </c>
      <c r="K287" s="4" t="s">
        <v>82</v>
      </c>
      <c r="L287" s="131">
        <v>0</v>
      </c>
      <c r="N287" s="44" t="s">
        <v>106</v>
      </c>
      <c r="O287" s="48">
        <f>H279</f>
        <v>0</v>
      </c>
      <c r="P287" s="48">
        <f>H281*O294</f>
        <v>0</v>
      </c>
      <c r="Q287" s="48">
        <f>H282*P294</f>
        <v>0</v>
      </c>
      <c r="R287" s="48">
        <f>H283*Q294</f>
        <v>0</v>
      </c>
      <c r="S287" s="44" t="s">
        <v>106</v>
      </c>
      <c r="T287" s="48">
        <v>0</v>
      </c>
      <c r="U287" s="48">
        <v>0</v>
      </c>
      <c r="V287" s="48">
        <v>0</v>
      </c>
      <c r="W287" s="48">
        <v>0</v>
      </c>
      <c r="X287" s="68" t="s">
        <v>106</v>
      </c>
      <c r="Y287" s="28">
        <v>0</v>
      </c>
      <c r="Z287" s="28">
        <v>0</v>
      </c>
      <c r="AA287" s="28">
        <v>0</v>
      </c>
      <c r="AB287" s="28">
        <v>0</v>
      </c>
    </row>
    <row r="288" spans="1:44" ht="15" customHeight="1">
      <c r="A288" s="362"/>
      <c r="B288" s="12" t="s">
        <v>405</v>
      </c>
      <c r="C288" s="30">
        <f>AC297+C284</f>
        <v>20</v>
      </c>
      <c r="E288" s="4" t="s">
        <v>80</v>
      </c>
      <c r="F288" s="47">
        <f>E305/IF(H288=0,1000000000000,H288)+L285</f>
        <v>1.9201745613237566E-4</v>
      </c>
      <c r="G288" s="44" t="s">
        <v>8</v>
      </c>
      <c r="H288" s="28">
        <f>CS_9!B29</f>
        <v>6874375000</v>
      </c>
      <c r="I288" s="4" t="s">
        <v>291</v>
      </c>
      <c r="J288" s="28">
        <v>1</v>
      </c>
      <c r="K288" s="4" t="s">
        <v>291</v>
      </c>
      <c r="L288" s="131">
        <v>1</v>
      </c>
      <c r="N288" s="44" t="s">
        <v>107</v>
      </c>
      <c r="O288" s="48">
        <f>H280</f>
        <v>0</v>
      </c>
      <c r="P288" s="48">
        <f>H281*O295</f>
        <v>0</v>
      </c>
      <c r="Q288" s="48">
        <f>H282*P295</f>
        <v>0</v>
      </c>
      <c r="R288" s="48">
        <f>H283*Q295</f>
        <v>0</v>
      </c>
      <c r="S288" s="44" t="s">
        <v>107</v>
      </c>
      <c r="T288" s="48">
        <v>0</v>
      </c>
      <c r="U288" s="48">
        <v>0</v>
      </c>
      <c r="V288" s="48">
        <v>0</v>
      </c>
      <c r="W288" s="48">
        <v>0</v>
      </c>
      <c r="X288" s="68" t="s">
        <v>107</v>
      </c>
      <c r="Y288" s="28">
        <v>-7.0324574961360125E-4</v>
      </c>
      <c r="Z288" s="28">
        <v>0</v>
      </c>
      <c r="AA288" s="28">
        <v>-5.1205248629290605E-4</v>
      </c>
      <c r="AB288" s="28">
        <v>0</v>
      </c>
    </row>
    <row r="289" spans="1:62" ht="15" customHeight="1">
      <c r="A289" s="362"/>
      <c r="B289" s="12" t="s">
        <v>406</v>
      </c>
      <c r="C289" s="30">
        <f>AC298+C285</f>
        <v>0</v>
      </c>
      <c r="E289" s="4" t="s">
        <v>81</v>
      </c>
      <c r="F289" s="47">
        <f t="shared" ref="F289:F290" si="69">E306/IF(H289=0,1000000000000,H289)+L286</f>
        <v>5.1205248714632685E-5</v>
      </c>
      <c r="G289" s="44" t="s">
        <v>114</v>
      </c>
      <c r="H289" s="28">
        <f>CS_9!B30</f>
        <v>6604791666.666667</v>
      </c>
      <c r="N289" s="6" t="s">
        <v>102</v>
      </c>
      <c r="O289" s="28">
        <v>1</v>
      </c>
      <c r="P289" s="28">
        <v>1</v>
      </c>
      <c r="Q289" s="28">
        <v>1</v>
      </c>
      <c r="R289" s="28">
        <v>1</v>
      </c>
      <c r="S289" s="6" t="s">
        <v>102</v>
      </c>
      <c r="T289" s="28">
        <v>1</v>
      </c>
      <c r="U289" s="28">
        <v>1</v>
      </c>
      <c r="V289" s="28">
        <v>1</v>
      </c>
      <c r="W289" s="28">
        <v>1</v>
      </c>
      <c r="X289" s="6" t="s">
        <v>102</v>
      </c>
      <c r="Y289" s="28">
        <v>1</v>
      </c>
      <c r="Z289" s="28">
        <v>1</v>
      </c>
      <c r="AA289" s="28">
        <v>1</v>
      </c>
      <c r="AB289" s="28">
        <v>1</v>
      </c>
    </row>
    <row r="290" spans="1:62" ht="15" customHeight="1">
      <c r="A290" s="362"/>
      <c r="B290" s="12" t="s">
        <v>407</v>
      </c>
      <c r="C290" s="30">
        <f>AC299+C286</f>
        <v>0</v>
      </c>
      <c r="E290" s="4" t="s">
        <v>82</v>
      </c>
      <c r="F290" s="47">
        <f t="shared" si="69"/>
        <v>0</v>
      </c>
      <c r="G290" s="44" t="s">
        <v>110</v>
      </c>
      <c r="H290" s="28">
        <f>CS_9!B31</f>
        <v>6604791666.666667</v>
      </c>
      <c r="AB290" s="5"/>
      <c r="AU290" s="5" t="s">
        <v>67</v>
      </c>
      <c r="AZ290" s="5" t="s">
        <v>87</v>
      </c>
      <c r="BE290" s="5" t="s">
        <v>92</v>
      </c>
      <c r="BJ290" s="5" t="s">
        <v>92</v>
      </c>
    </row>
    <row r="291" spans="1:62" ht="34">
      <c r="A291" s="362"/>
      <c r="B291" s="67" t="s">
        <v>101</v>
      </c>
      <c r="E291" s="336" t="s">
        <v>280</v>
      </c>
      <c r="F291" s="352"/>
      <c r="G291" s="353" t="s">
        <v>279</v>
      </c>
      <c r="H291" s="354"/>
      <c r="I291" s="354"/>
      <c r="J291" s="354"/>
      <c r="K291" s="354"/>
      <c r="L291" s="355"/>
      <c r="M291" s="89" t="s">
        <v>281</v>
      </c>
      <c r="N291" s="82" t="s">
        <v>234</v>
      </c>
      <c r="AE291" s="43" t="s">
        <v>214</v>
      </c>
      <c r="AF291" s="295">
        <f>CS_9!B60</f>
        <v>1.0000000000000007E-4</v>
      </c>
      <c r="AG291" s="43"/>
      <c r="AH291" s="43"/>
      <c r="AI291" s="43"/>
      <c r="AJ291" s="43" t="s">
        <v>88</v>
      </c>
      <c r="AK291" s="296">
        <f>CS_9!B61</f>
        <v>9.9999999000000077E-5</v>
      </c>
      <c r="AL291" s="7"/>
      <c r="AM291" s="7"/>
      <c r="AN291" s="43"/>
      <c r="AO291" s="43" t="s">
        <v>213</v>
      </c>
      <c r="AP291" s="295">
        <f>CS_10!B62</f>
        <v>1.0000000000000007E-4</v>
      </c>
      <c r="AU291" s="7" t="s">
        <v>0</v>
      </c>
      <c r="AV291" s="7" t="s">
        <v>1</v>
      </c>
      <c r="AW291" s="7" t="s">
        <v>2</v>
      </c>
      <c r="AZ291" s="7" t="s">
        <v>0</v>
      </c>
      <c r="BA291" s="7" t="s">
        <v>1</v>
      </c>
      <c r="BB291" s="7" t="s">
        <v>2</v>
      </c>
      <c r="BE291" s="7" t="s">
        <v>0</v>
      </c>
      <c r="BF291" s="7" t="s">
        <v>1</v>
      </c>
      <c r="BG291" s="7" t="s">
        <v>2</v>
      </c>
    </row>
    <row r="292" spans="1:62" ht="15" customHeight="1">
      <c r="A292" s="362"/>
      <c r="B292" s="39" t="s">
        <v>95</v>
      </c>
      <c r="C292" s="41">
        <f t="array" ref="C292:C295">MMULT(O264:R267,E268:E271)</f>
        <v>0</v>
      </c>
      <c r="E292" s="44" t="s">
        <v>79</v>
      </c>
      <c r="F292" s="47">
        <f t="array" ref="F292:F297">MMULT(G292:L297,M292:M297)</f>
        <v>0</v>
      </c>
      <c r="G292" s="124">
        <f>CS_9!G5</f>
        <v>0</v>
      </c>
      <c r="H292" s="124">
        <f>CS_9!H5</f>
        <v>0</v>
      </c>
      <c r="I292" s="124">
        <f>CS_9!I5</f>
        <v>0</v>
      </c>
      <c r="J292" s="124">
        <f>CS_9!J5</f>
        <v>0</v>
      </c>
      <c r="K292" s="124">
        <f>CS_9!K5</f>
        <v>0</v>
      </c>
      <c r="L292" s="124">
        <f>CS_9!L5</f>
        <v>0</v>
      </c>
      <c r="M292" s="28">
        <f>C292</f>
        <v>0</v>
      </c>
      <c r="O292" s="7" t="s">
        <v>4</v>
      </c>
      <c r="P292" s="25" t="s">
        <v>5</v>
      </c>
      <c r="Q292" s="25" t="s">
        <v>6</v>
      </c>
      <c r="R292" s="25"/>
      <c r="S292" s="25"/>
      <c r="T292" s="25"/>
      <c r="U292" s="25"/>
      <c r="V292" s="25"/>
      <c r="W292" s="25"/>
      <c r="X292" s="25"/>
      <c r="Y292" s="25"/>
      <c r="Z292" s="25"/>
      <c r="AA292" s="25"/>
      <c r="AB292" t="s">
        <v>66</v>
      </c>
      <c r="AC292" s="28">
        <f>C277</f>
        <v>10</v>
      </c>
      <c r="AD292" s="28"/>
      <c r="AE292" s="76">
        <v>1</v>
      </c>
      <c r="AF292" s="47">
        <v>0</v>
      </c>
      <c r="AG292" s="47">
        <v>0</v>
      </c>
      <c r="AH292" s="77">
        <v>0</v>
      </c>
      <c r="AI292" s="78"/>
      <c r="AJ292" s="47">
        <f>COS(AK291)</f>
        <v>0.99999999500000014</v>
      </c>
      <c r="AK292" s="47">
        <v>0</v>
      </c>
      <c r="AL292" s="47">
        <f>-AJ294</f>
        <v>9.9999998833333415E-5</v>
      </c>
      <c r="AM292" s="47">
        <v>0</v>
      </c>
      <c r="AN292" s="78"/>
      <c r="AO292" s="47">
        <f>COS(AP291)</f>
        <v>0.99999999500000003</v>
      </c>
      <c r="AP292" s="47">
        <f>-AO293</f>
        <v>-9.9999999833333411E-5</v>
      </c>
      <c r="AQ292" s="47">
        <v>0</v>
      </c>
      <c r="AR292" s="47">
        <v>0</v>
      </c>
      <c r="AS292" s="78"/>
      <c r="AT292" s="28" t="s">
        <v>63</v>
      </c>
      <c r="AU292" s="47">
        <f t="array" ref="AU292:AU295">MMULT(AE292:AH295,$AC292:$AC295)</f>
        <v>10</v>
      </c>
      <c r="AV292" s="47">
        <f>AU292-$AC292</f>
        <v>0</v>
      </c>
      <c r="AW292" s="47">
        <f>AV292/AF291</f>
        <v>0</v>
      </c>
      <c r="AX292" s="78"/>
      <c r="AY292" s="28" t="s">
        <v>63</v>
      </c>
      <c r="AZ292" s="47">
        <f t="array" ref="AZ292:AZ295">MMULT(AJ292:AM295,$AC292:$AC295)</f>
        <v>9.9999999500000012</v>
      </c>
      <c r="BA292" s="47">
        <f>AZ292-$AC292</f>
        <v>-4.9999998807948032E-8</v>
      </c>
      <c r="BB292" s="47">
        <f>BA292/AK291</f>
        <v>-4.9999999307947986E-4</v>
      </c>
      <c r="BC292" s="78"/>
      <c r="BD292" s="28" t="s">
        <v>63</v>
      </c>
      <c r="BE292" s="47">
        <f t="array" ref="BE292:BE295">MMULT(AO292:AR295,$AC292:$AC295)</f>
        <v>9.9999999499999994</v>
      </c>
      <c r="BF292" s="47">
        <f>BE292-$AC292</f>
        <v>-5.0000000584304871E-8</v>
      </c>
      <c r="BG292" s="47">
        <f>BF292/AP291</f>
        <v>-5.0000000584304839E-4</v>
      </c>
    </row>
    <row r="293" spans="1:62" ht="17">
      <c r="A293" s="362"/>
      <c r="B293" s="39" t="s">
        <v>96</v>
      </c>
      <c r="C293" s="41">
        <v>0</v>
      </c>
      <c r="E293" s="44" t="s">
        <v>106</v>
      </c>
      <c r="F293" s="47">
        <v>0</v>
      </c>
      <c r="G293" s="124">
        <f>CS_9!G6</f>
        <v>0</v>
      </c>
      <c r="H293" s="124">
        <f>CS_9!H6</f>
        <v>0</v>
      </c>
      <c r="I293" s="124">
        <f>CS_9!I6</f>
        <v>0</v>
      </c>
      <c r="J293" s="124">
        <f>CS_9!J6</f>
        <v>0</v>
      </c>
      <c r="K293" s="124">
        <f>CS_9!K6</f>
        <v>0</v>
      </c>
      <c r="L293" s="124">
        <f>CS_9!L6</f>
        <v>0</v>
      </c>
      <c r="M293" s="28">
        <f t="shared" ref="M293:M294" si="70">C293</f>
        <v>0</v>
      </c>
      <c r="N293" s="44" t="s">
        <v>79</v>
      </c>
      <c r="O293" s="30">
        <f>AW292</f>
        <v>0</v>
      </c>
      <c r="P293" s="30">
        <f>BB292</f>
        <v>-4.9999999307947986E-4</v>
      </c>
      <c r="Q293" s="30">
        <f>BG292</f>
        <v>-5.0000000584304839E-4</v>
      </c>
      <c r="AB293" t="s">
        <v>71</v>
      </c>
      <c r="AC293" s="28">
        <f>C278</f>
        <v>0</v>
      </c>
      <c r="AD293" s="28"/>
      <c r="AE293" s="76">
        <v>0</v>
      </c>
      <c r="AF293" s="47">
        <f>COS(AF291)</f>
        <v>0.99999999500000003</v>
      </c>
      <c r="AG293" s="47">
        <f>-SIN(AF291)</f>
        <v>-9.9999999833333411E-5</v>
      </c>
      <c r="AH293" s="77">
        <v>0</v>
      </c>
      <c r="AI293" s="78"/>
      <c r="AJ293" s="47">
        <v>0</v>
      </c>
      <c r="AK293" s="47">
        <v>1</v>
      </c>
      <c r="AL293" s="47">
        <v>0</v>
      </c>
      <c r="AM293" s="47">
        <v>0</v>
      </c>
      <c r="AN293" s="78"/>
      <c r="AO293" s="47">
        <f>SIN(AP291)</f>
        <v>9.9999999833333411E-5</v>
      </c>
      <c r="AP293" s="47">
        <f>AO292</f>
        <v>0.99999999500000003</v>
      </c>
      <c r="AQ293" s="47">
        <v>0</v>
      </c>
      <c r="AR293" s="47">
        <v>0</v>
      </c>
      <c r="AS293" s="78"/>
      <c r="AT293" s="28" t="s">
        <v>64</v>
      </c>
      <c r="AU293" s="47">
        <v>0</v>
      </c>
      <c r="AV293" s="47">
        <f>AU293-$AC293</f>
        <v>0</v>
      </c>
      <c r="AW293" s="47">
        <f>AV293/AF291</f>
        <v>0</v>
      </c>
      <c r="AX293" s="78"/>
      <c r="AY293" s="28" t="s">
        <v>64</v>
      </c>
      <c r="AZ293" s="47">
        <v>0</v>
      </c>
      <c r="BA293" s="47">
        <f>AZ293-$AC293</f>
        <v>0</v>
      </c>
      <c r="BB293" s="47">
        <f>BA293/AK291</f>
        <v>0</v>
      </c>
      <c r="BC293" s="78"/>
      <c r="BD293" s="28" t="s">
        <v>64</v>
      </c>
      <c r="BE293" s="47">
        <v>9.9999999833333408E-4</v>
      </c>
      <c r="BF293" s="47">
        <f>BE293-$AC293</f>
        <v>9.9999999833333408E-4</v>
      </c>
      <c r="BG293" s="47">
        <f>BF293/AP291</f>
        <v>9.9999999833333337</v>
      </c>
    </row>
    <row r="294" spans="1:62" ht="17">
      <c r="A294" s="362"/>
      <c r="B294" s="39" t="s">
        <v>97</v>
      </c>
      <c r="C294" s="41">
        <v>-1820</v>
      </c>
      <c r="E294" s="44" t="s">
        <v>107</v>
      </c>
      <c r="F294" s="47">
        <v>0</v>
      </c>
      <c r="G294" s="124">
        <f>CS_9!G7</f>
        <v>0</v>
      </c>
      <c r="H294" s="124">
        <f>CS_9!H7</f>
        <v>0</v>
      </c>
      <c r="I294" s="124">
        <f>CS_9!I7</f>
        <v>0</v>
      </c>
      <c r="J294" s="124">
        <f>CS_9!J7</f>
        <v>0</v>
      </c>
      <c r="K294" s="124">
        <f>CS_9!K7</f>
        <v>0</v>
      </c>
      <c r="L294" s="124">
        <f>CS_9!L7</f>
        <v>0</v>
      </c>
      <c r="M294" s="28">
        <f t="shared" si="70"/>
        <v>-1820</v>
      </c>
      <c r="N294" s="44" t="s">
        <v>106</v>
      </c>
      <c r="O294" s="30">
        <f t="shared" ref="O294:O295" si="71">AW293</f>
        <v>0</v>
      </c>
      <c r="P294" s="30">
        <f t="shared" ref="P294:P295" si="72">BB293</f>
        <v>0</v>
      </c>
      <c r="Q294" s="30">
        <f t="shared" ref="Q294:Q295" si="73">BG293</f>
        <v>9.9999999833333337</v>
      </c>
      <c r="AB294" t="s">
        <v>72</v>
      </c>
      <c r="AC294" s="28">
        <f>C279</f>
        <v>0</v>
      </c>
      <c r="AD294" s="28"/>
      <c r="AE294" s="76">
        <v>0</v>
      </c>
      <c r="AF294" s="47">
        <f>-AG293</f>
        <v>9.9999999833333411E-5</v>
      </c>
      <c r="AG294" s="47">
        <f>AF293</f>
        <v>0.99999999500000003</v>
      </c>
      <c r="AH294" s="77">
        <v>0</v>
      </c>
      <c r="AI294" s="78"/>
      <c r="AJ294" s="47">
        <f>-SIN(AK291)</f>
        <v>-9.9999998833333415E-5</v>
      </c>
      <c r="AK294" s="47">
        <v>0</v>
      </c>
      <c r="AL294" s="47">
        <f>COS(AK291)</f>
        <v>0.99999999500000014</v>
      </c>
      <c r="AM294" s="47">
        <v>0</v>
      </c>
      <c r="AN294" s="78"/>
      <c r="AO294" s="47">
        <v>0</v>
      </c>
      <c r="AP294" s="47">
        <v>0</v>
      </c>
      <c r="AQ294" s="47">
        <v>1</v>
      </c>
      <c r="AR294" s="47">
        <v>0</v>
      </c>
      <c r="AS294" s="78"/>
      <c r="AT294" s="28" t="s">
        <v>65</v>
      </c>
      <c r="AU294" s="47">
        <v>0</v>
      </c>
      <c r="AV294" s="47">
        <f>AU294-$AC294</f>
        <v>0</v>
      </c>
      <c r="AW294" s="47">
        <f>AV294/AF291</f>
        <v>0</v>
      </c>
      <c r="AX294" s="78"/>
      <c r="AY294" s="28" t="s">
        <v>65</v>
      </c>
      <c r="AZ294" s="47">
        <v>-9.9999998833333412E-4</v>
      </c>
      <c r="BA294" s="47">
        <f>AZ294-$AC294</f>
        <v>-9.9999998833333412E-4</v>
      </c>
      <c r="BB294" s="47">
        <f>BA294/AK291</f>
        <v>-9.9999999833333337</v>
      </c>
      <c r="BC294" s="78"/>
      <c r="BD294" s="28" t="s">
        <v>65</v>
      </c>
      <c r="BE294" s="47">
        <v>0</v>
      </c>
      <c r="BF294" s="47">
        <f>BE294-$AC294</f>
        <v>0</v>
      </c>
      <c r="BG294" s="47">
        <f>BF294/AP291</f>
        <v>0</v>
      </c>
    </row>
    <row r="295" spans="1:62" ht="15" customHeight="1">
      <c r="A295" s="362"/>
      <c r="B295" s="39" t="s">
        <v>102</v>
      </c>
      <c r="C295" s="41">
        <v>1</v>
      </c>
      <c r="E295" s="4" t="s">
        <v>80</v>
      </c>
      <c r="F295" s="47">
        <v>0</v>
      </c>
      <c r="G295" s="124">
        <f>CS_9!G8</f>
        <v>0</v>
      </c>
      <c r="H295" s="124">
        <f>CS_9!H8</f>
        <v>0</v>
      </c>
      <c r="I295" s="124">
        <f>CS_9!I8</f>
        <v>0</v>
      </c>
      <c r="J295" s="124">
        <f>CS_9!J8</f>
        <v>0</v>
      </c>
      <c r="K295" s="124">
        <f>CS_9!K8</f>
        <v>0</v>
      </c>
      <c r="L295" s="124">
        <f>CS_9!L8</f>
        <v>0</v>
      </c>
      <c r="M295" s="28">
        <f>C296</f>
        <v>1320000</v>
      </c>
      <c r="N295" s="44" t="s">
        <v>107</v>
      </c>
      <c r="O295" s="30">
        <f t="shared" si="71"/>
        <v>0</v>
      </c>
      <c r="P295" s="30">
        <f t="shared" si="72"/>
        <v>-9.9999999833333337</v>
      </c>
      <c r="Q295" s="30">
        <f t="shared" si="73"/>
        <v>0</v>
      </c>
      <c r="AC295" s="28">
        <v>1</v>
      </c>
      <c r="AD295" s="28"/>
      <c r="AE295" s="76">
        <v>0</v>
      </c>
      <c r="AF295" s="47">
        <v>0</v>
      </c>
      <c r="AG295" s="47">
        <v>0</v>
      </c>
      <c r="AH295" s="77">
        <v>1</v>
      </c>
      <c r="AI295" s="78"/>
      <c r="AJ295" s="47">
        <v>0</v>
      </c>
      <c r="AK295" s="47">
        <v>0</v>
      </c>
      <c r="AL295" s="47">
        <v>0</v>
      </c>
      <c r="AM295" s="47">
        <v>1</v>
      </c>
      <c r="AN295" s="78"/>
      <c r="AO295" s="47">
        <v>0</v>
      </c>
      <c r="AP295" s="47">
        <v>0</v>
      </c>
      <c r="AQ295" s="47">
        <v>0</v>
      </c>
      <c r="AR295" s="47">
        <v>1</v>
      </c>
      <c r="AS295" s="78"/>
      <c r="AT295" s="28"/>
      <c r="AU295" s="47">
        <v>1</v>
      </c>
      <c r="AV295" s="47"/>
      <c r="AW295" s="47"/>
      <c r="AX295" s="78"/>
      <c r="AY295" s="28"/>
      <c r="AZ295" s="47">
        <v>1</v>
      </c>
      <c r="BA295" s="47"/>
      <c r="BB295" s="47"/>
      <c r="BC295" s="78"/>
      <c r="BD295" s="28"/>
      <c r="BE295" s="47">
        <v>1</v>
      </c>
      <c r="BF295" s="47"/>
      <c r="BG295" s="47"/>
    </row>
    <row r="296" spans="1:62" ht="15" customHeight="1">
      <c r="A296" s="362"/>
      <c r="B296" s="39" t="s">
        <v>98</v>
      </c>
      <c r="C296" s="41">
        <f t="array" ref="C296:C299">MMULT(O264:R267,E272:E275)</f>
        <v>1320000</v>
      </c>
      <c r="E296" s="4" t="s">
        <v>81</v>
      </c>
      <c r="F296" s="47">
        <v>0</v>
      </c>
      <c r="G296" s="124">
        <f>CS_9!G9</f>
        <v>0</v>
      </c>
      <c r="H296" s="124">
        <f>CS_9!H9</f>
        <v>0</v>
      </c>
      <c r="I296" s="124">
        <f>CS_9!I9</f>
        <v>0</v>
      </c>
      <c r="J296" s="124">
        <f>CS_9!J9</f>
        <v>0</v>
      </c>
      <c r="K296" s="124">
        <f>CS_9!K9</f>
        <v>0</v>
      </c>
      <c r="L296" s="124">
        <f>CS_9!L9</f>
        <v>0</v>
      </c>
      <c r="M296" s="28">
        <f>C297</f>
        <v>320000</v>
      </c>
      <c r="O296" s="3" t="s">
        <v>77</v>
      </c>
      <c r="T296" s="3" t="s">
        <v>78</v>
      </c>
      <c r="AE296" t="s">
        <v>90</v>
      </c>
      <c r="AJ296" t="s">
        <v>89</v>
      </c>
      <c r="AO296" t="s">
        <v>91</v>
      </c>
    </row>
    <row r="297" spans="1:62" ht="15" customHeight="1">
      <c r="A297" s="362"/>
      <c r="B297" s="39" t="s">
        <v>99</v>
      </c>
      <c r="C297" s="41">
        <v>320000</v>
      </c>
      <c r="E297" s="4" t="s">
        <v>82</v>
      </c>
      <c r="F297" s="47">
        <v>0</v>
      </c>
      <c r="G297" s="124">
        <f>CS_9!G10</f>
        <v>0</v>
      </c>
      <c r="H297" s="124">
        <f>CS_9!H10</f>
        <v>0</v>
      </c>
      <c r="I297" s="124">
        <f>CS_9!I10</f>
        <v>0</v>
      </c>
      <c r="J297" s="124">
        <f>CS_9!J10</f>
        <v>0</v>
      </c>
      <c r="K297" s="124">
        <f>CS_9!K10</f>
        <v>0</v>
      </c>
      <c r="L297" s="124">
        <f>CS_9!L10</f>
        <v>0</v>
      </c>
      <c r="M297" s="28">
        <f>C298</f>
        <v>0</v>
      </c>
      <c r="O297" s="30">
        <f t="array" ref="O297:R300">MMULT(AO297:AR300,MMULT(AJ297:AM300,AE297:AH300))</f>
        <v>1</v>
      </c>
      <c r="P297" s="30">
        <v>0</v>
      </c>
      <c r="Q297" s="30">
        <v>0</v>
      </c>
      <c r="R297" s="30">
        <v>0</v>
      </c>
      <c r="S297" s="11"/>
      <c r="T297" s="30">
        <f t="array" ref="T297:W300">IF(A318=1,MMULT(T330:W333,O297:R300),T$363:W$366)</f>
        <v>1</v>
      </c>
      <c r="U297" s="30">
        <v>0</v>
      </c>
      <c r="V297" s="30">
        <v>0</v>
      </c>
      <c r="W297" s="30">
        <v>0</v>
      </c>
      <c r="X297" s="30"/>
      <c r="Y297" s="30"/>
      <c r="Z297" s="30"/>
      <c r="AA297" s="30"/>
      <c r="AB297" t="s">
        <v>68</v>
      </c>
      <c r="AC297" s="28">
        <f t="array" ref="AC297:AC300">MMULT(O297:R300,AC292:AC295)</f>
        <v>10</v>
      </c>
      <c r="AD297" s="28"/>
      <c r="AE297" s="27">
        <v>1</v>
      </c>
      <c r="AF297" s="28">
        <v>0</v>
      </c>
      <c r="AG297" s="28">
        <v>0</v>
      </c>
      <c r="AH297" s="29">
        <v>0</v>
      </c>
      <c r="AJ297" s="27">
        <f>COS(PI()*C282/180)</f>
        <v>1</v>
      </c>
      <c r="AK297" s="28">
        <v>0</v>
      </c>
      <c r="AL297" s="28">
        <f>SIN(PI()*C282/180)</f>
        <v>0</v>
      </c>
      <c r="AM297" s="29">
        <v>0</v>
      </c>
      <c r="AO297" s="27">
        <f>COS(PI()*C283/180)</f>
        <v>1</v>
      </c>
      <c r="AP297" s="28">
        <f>-SIN(PI()*C283/180)</f>
        <v>0</v>
      </c>
      <c r="AQ297" s="28">
        <v>0</v>
      </c>
      <c r="AR297" s="29">
        <v>0</v>
      </c>
    </row>
    <row r="298" spans="1:62" ht="15" customHeight="1">
      <c r="A298" s="362"/>
      <c r="B298" s="39" t="s">
        <v>100</v>
      </c>
      <c r="C298" s="41">
        <v>0</v>
      </c>
      <c r="G298" s="105"/>
      <c r="H298" s="105"/>
      <c r="I298" s="105"/>
      <c r="J298" s="117"/>
      <c r="K298" s="117"/>
      <c r="L298" s="117"/>
      <c r="M298" s="117"/>
      <c r="O298" s="30">
        <v>0</v>
      </c>
      <c r="P298" s="30">
        <v>1</v>
      </c>
      <c r="Q298" s="30">
        <v>0</v>
      </c>
      <c r="R298" s="30">
        <v>0</v>
      </c>
      <c r="S298" s="11"/>
      <c r="T298" s="30">
        <v>0</v>
      </c>
      <c r="U298" s="30">
        <v>1</v>
      </c>
      <c r="V298" s="30">
        <v>0</v>
      </c>
      <c r="W298" s="30">
        <v>0</v>
      </c>
      <c r="X298" s="30"/>
      <c r="Y298" s="30"/>
      <c r="Z298" s="30"/>
      <c r="AA298" s="30"/>
      <c r="AB298" t="s">
        <v>69</v>
      </c>
      <c r="AC298" s="28">
        <v>0</v>
      </c>
      <c r="AD298" s="28"/>
      <c r="AE298" s="27">
        <v>0</v>
      </c>
      <c r="AF298" s="28">
        <f>COS(PI()*C281/180)</f>
        <v>1</v>
      </c>
      <c r="AG298" s="28">
        <f>-SIN(PI()*C281/180)</f>
        <v>0</v>
      </c>
      <c r="AH298" s="29">
        <v>0</v>
      </c>
      <c r="AJ298" s="27">
        <v>0</v>
      </c>
      <c r="AK298" s="28">
        <v>1</v>
      </c>
      <c r="AL298" s="28">
        <v>0</v>
      </c>
      <c r="AM298" s="29">
        <v>0</v>
      </c>
      <c r="AO298" s="27">
        <f>SIN(PI()*C283/180)</f>
        <v>0</v>
      </c>
      <c r="AP298" s="28">
        <f>AO297</f>
        <v>1</v>
      </c>
      <c r="AQ298" s="28">
        <v>0</v>
      </c>
      <c r="AR298" s="29">
        <v>0</v>
      </c>
    </row>
    <row r="299" spans="1:62" ht="15" customHeight="1">
      <c r="A299" s="362"/>
      <c r="B299" s="39" t="s">
        <v>102</v>
      </c>
      <c r="C299" s="41">
        <v>1</v>
      </c>
      <c r="G299" s="105"/>
      <c r="H299" s="105"/>
      <c r="I299" s="105"/>
      <c r="J299" s="117"/>
      <c r="K299" s="117"/>
      <c r="L299" s="117"/>
      <c r="M299" s="117"/>
      <c r="O299" s="30">
        <v>0</v>
      </c>
      <c r="P299" s="30">
        <v>0</v>
      </c>
      <c r="Q299" s="30">
        <v>1</v>
      </c>
      <c r="R299" s="30">
        <v>0</v>
      </c>
      <c r="S299" s="11"/>
      <c r="T299" s="30">
        <v>0</v>
      </c>
      <c r="U299" s="30">
        <v>0</v>
      </c>
      <c r="V299" s="30">
        <v>1</v>
      </c>
      <c r="W299" s="30">
        <v>0</v>
      </c>
      <c r="X299" s="30"/>
      <c r="Y299" s="30"/>
      <c r="Z299" s="30"/>
      <c r="AA299" s="30"/>
      <c r="AB299" t="s">
        <v>70</v>
      </c>
      <c r="AC299" s="28">
        <v>0</v>
      </c>
      <c r="AD299" s="28"/>
      <c r="AE299" s="27">
        <v>0</v>
      </c>
      <c r="AF299" s="28">
        <f>SIN(PI()*C281/180)</f>
        <v>0</v>
      </c>
      <c r="AG299" s="28">
        <f>AF298</f>
        <v>1</v>
      </c>
      <c r="AH299" s="29">
        <v>0</v>
      </c>
      <c r="AJ299" s="27">
        <f>-SIN(PI()*C282/180)</f>
        <v>0</v>
      </c>
      <c r="AK299" s="28">
        <v>0</v>
      </c>
      <c r="AL299" s="28">
        <f>AJ297</f>
        <v>1</v>
      </c>
      <c r="AM299" s="29">
        <v>0</v>
      </c>
      <c r="AO299" s="27">
        <v>0</v>
      </c>
      <c r="AP299" s="28">
        <v>0</v>
      </c>
      <c r="AQ299" s="28">
        <v>1</v>
      </c>
      <c r="AR299" s="29">
        <v>0</v>
      </c>
    </row>
    <row r="300" spans="1:62" s="114" customFormat="1">
      <c r="A300" s="362"/>
      <c r="B300" s="75" t="s">
        <v>173</v>
      </c>
      <c r="C300"/>
      <c r="D300" s="87" t="s">
        <v>232</v>
      </c>
      <c r="E300"/>
      <c r="G300" s="119"/>
      <c r="H300" s="119"/>
      <c r="I300" s="119"/>
      <c r="J300" s="126"/>
      <c r="K300" s="126"/>
      <c r="L300" s="126"/>
      <c r="M300" s="126"/>
      <c r="O300" s="115">
        <v>0</v>
      </c>
      <c r="P300" s="115">
        <v>0</v>
      </c>
      <c r="Q300" s="115">
        <v>0</v>
      </c>
      <c r="R300" s="115">
        <v>1</v>
      </c>
      <c r="S300" s="116"/>
      <c r="T300" s="115">
        <v>0</v>
      </c>
      <c r="U300" s="115">
        <v>0</v>
      </c>
      <c r="V300" s="115">
        <v>0</v>
      </c>
      <c r="W300" s="115">
        <v>1</v>
      </c>
      <c r="X300" s="115"/>
      <c r="Y300" s="115"/>
      <c r="Z300" s="115"/>
      <c r="AA300" s="115"/>
      <c r="AC300" s="31">
        <v>1</v>
      </c>
      <c r="AD300" s="31"/>
      <c r="AE300" s="31">
        <v>0</v>
      </c>
      <c r="AF300" s="31">
        <v>0</v>
      </c>
      <c r="AG300" s="31">
        <v>0</v>
      </c>
      <c r="AH300" s="31">
        <v>1</v>
      </c>
      <c r="AJ300" s="31">
        <v>0</v>
      </c>
      <c r="AK300" s="31">
        <v>0</v>
      </c>
      <c r="AL300" s="31">
        <v>0</v>
      </c>
      <c r="AM300" s="31">
        <v>1</v>
      </c>
      <c r="AO300" s="31">
        <v>0</v>
      </c>
      <c r="AP300" s="31">
        <v>0</v>
      </c>
      <c r="AQ300" s="31">
        <v>0</v>
      </c>
      <c r="AR300" s="31">
        <v>1</v>
      </c>
    </row>
    <row r="301" spans="1:62" s="114" customFormat="1" ht="17">
      <c r="A301" s="362"/>
      <c r="B301" s="39" t="s">
        <v>95</v>
      </c>
      <c r="C301" s="40">
        <v>0</v>
      </c>
      <c r="D301" s="39" t="s">
        <v>95</v>
      </c>
      <c r="E301" s="41">
        <f>C292+C301</f>
        <v>0</v>
      </c>
      <c r="F301" s="122"/>
      <c r="G301" s="126"/>
      <c r="H301" s="129"/>
      <c r="I301" s="126"/>
      <c r="J301" s="126"/>
      <c r="K301" s="126"/>
      <c r="L301" s="126"/>
      <c r="M301" s="126"/>
      <c r="O301" s="115"/>
      <c r="P301" s="115"/>
      <c r="Q301" s="115"/>
      <c r="R301" s="115"/>
      <c r="S301" s="116"/>
      <c r="T301" s="115"/>
      <c r="U301" s="115"/>
      <c r="V301" s="115"/>
      <c r="W301" s="115"/>
      <c r="X301" s="115"/>
      <c r="Y301" s="115"/>
      <c r="Z301" s="115"/>
      <c r="AA301" s="115"/>
      <c r="AC301" s="31"/>
      <c r="AD301" s="31"/>
      <c r="AE301" s="31"/>
      <c r="AF301" s="31"/>
      <c r="AG301" s="31"/>
      <c r="AH301" s="31"/>
      <c r="AJ301" s="31"/>
      <c r="AK301" s="31"/>
      <c r="AL301" s="31"/>
      <c r="AM301" s="31"/>
      <c r="AO301" s="31"/>
      <c r="AP301" s="31"/>
      <c r="AQ301" s="31"/>
      <c r="AR301" s="31"/>
    </row>
    <row r="302" spans="1:62" s="114" customFormat="1" ht="17">
      <c r="A302" s="362"/>
      <c r="B302" s="39" t="s">
        <v>96</v>
      </c>
      <c r="C302" s="40">
        <v>0</v>
      </c>
      <c r="D302" s="39" t="s">
        <v>96</v>
      </c>
      <c r="E302" s="41">
        <f>C293+C302</f>
        <v>0</v>
      </c>
      <c r="F302" s="122"/>
      <c r="G302" s="126"/>
      <c r="H302" s="129"/>
      <c r="I302" s="126"/>
      <c r="J302" s="126"/>
      <c r="K302" s="126"/>
      <c r="L302" s="126"/>
      <c r="M302" s="126"/>
      <c r="O302" s="115"/>
      <c r="P302" s="115"/>
      <c r="Q302" s="115"/>
      <c r="R302" s="115"/>
      <c r="S302" s="116"/>
      <c r="T302" s="115"/>
      <c r="U302" s="115"/>
      <c r="V302" s="115"/>
      <c r="W302" s="115"/>
      <c r="X302" s="115"/>
      <c r="Y302" s="115"/>
      <c r="Z302" s="115"/>
      <c r="AA302" s="115"/>
      <c r="AC302" s="31"/>
      <c r="AD302" s="31"/>
      <c r="AE302" s="31"/>
      <c r="AF302" s="31"/>
      <c r="AG302" s="31"/>
      <c r="AH302" s="31"/>
      <c r="AJ302" s="31"/>
      <c r="AK302" s="31"/>
      <c r="AL302" s="31"/>
      <c r="AM302" s="31"/>
      <c r="AO302" s="31"/>
      <c r="AP302" s="31"/>
      <c r="AQ302" s="31"/>
      <c r="AR302" s="31"/>
    </row>
    <row r="303" spans="1:62" s="114" customFormat="1" ht="17">
      <c r="A303" s="362"/>
      <c r="B303" s="39" t="s">
        <v>97</v>
      </c>
      <c r="C303" s="40">
        <v>0</v>
      </c>
      <c r="D303" s="39" t="s">
        <v>97</v>
      </c>
      <c r="E303" s="41">
        <f>C294+C303</f>
        <v>-1820</v>
      </c>
      <c r="F303" s="122"/>
      <c r="G303" s="126"/>
      <c r="H303" s="129"/>
      <c r="I303" s="126"/>
      <c r="J303" s="126"/>
      <c r="K303" s="126"/>
      <c r="L303" s="126"/>
      <c r="M303" s="126"/>
      <c r="O303" s="115"/>
      <c r="P303" s="115"/>
      <c r="Q303" s="115"/>
      <c r="R303" s="115"/>
      <c r="S303" s="116"/>
      <c r="T303" s="115"/>
      <c r="U303" s="115"/>
      <c r="V303" s="115"/>
      <c r="W303" s="115"/>
      <c r="X303" s="115"/>
      <c r="Y303" s="115"/>
      <c r="Z303" s="115"/>
      <c r="AA303" s="115"/>
      <c r="AC303" s="31"/>
      <c r="AD303" s="31"/>
      <c r="AE303" s="31"/>
      <c r="AF303" s="31"/>
      <c r="AG303" s="31"/>
      <c r="AH303" s="31"/>
      <c r="AJ303" s="31"/>
      <c r="AK303" s="31"/>
      <c r="AL303" s="31"/>
      <c r="AM303" s="31"/>
      <c r="AO303" s="31"/>
      <c r="AP303" s="31"/>
      <c r="AQ303" s="31"/>
      <c r="AR303" s="31"/>
    </row>
    <row r="304" spans="1:62" s="114" customFormat="1" ht="17">
      <c r="A304" s="362"/>
      <c r="B304" s="122" t="s">
        <v>102</v>
      </c>
      <c r="C304" s="123">
        <v>1</v>
      </c>
      <c r="D304" s="122" t="s">
        <v>102</v>
      </c>
      <c r="E304" s="123">
        <v>1</v>
      </c>
      <c r="F304" s="122"/>
      <c r="G304" s="126"/>
      <c r="H304" s="129"/>
      <c r="I304" s="126"/>
      <c r="J304" s="126"/>
      <c r="K304" s="126"/>
      <c r="L304" s="126"/>
      <c r="M304" s="126"/>
      <c r="O304" s="115"/>
      <c r="P304" s="115"/>
      <c r="Q304" s="115"/>
      <c r="R304" s="115"/>
      <c r="S304" s="116"/>
      <c r="T304" s="115"/>
      <c r="U304" s="115"/>
      <c r="V304" s="115"/>
      <c r="W304" s="115"/>
      <c r="X304" s="115"/>
      <c r="Y304" s="115"/>
      <c r="Z304" s="115"/>
      <c r="AA304" s="115"/>
      <c r="AC304" s="31"/>
      <c r="AD304" s="31"/>
      <c r="AE304" s="31"/>
      <c r="AF304" s="31"/>
      <c r="AG304" s="31"/>
      <c r="AH304" s="31"/>
      <c r="AJ304" s="31"/>
      <c r="AK304" s="31"/>
      <c r="AL304" s="31"/>
      <c r="AM304" s="31"/>
      <c r="AO304" s="31"/>
      <c r="AP304" s="31"/>
      <c r="AQ304" s="31"/>
      <c r="AR304" s="31"/>
    </row>
    <row r="305" spans="1:44" s="114" customFormat="1" ht="17">
      <c r="A305" s="362"/>
      <c r="B305" s="39" t="s">
        <v>98</v>
      </c>
      <c r="C305" s="40">
        <v>0</v>
      </c>
      <c r="D305" s="39" t="s">
        <v>98</v>
      </c>
      <c r="E305" s="41">
        <f>C296+C305+C294*C252-C293*C253</f>
        <v>1320000</v>
      </c>
      <c r="F305" s="122"/>
      <c r="G305" s="126"/>
      <c r="H305" s="129"/>
      <c r="I305" s="126"/>
      <c r="J305" s="126"/>
      <c r="K305" s="126"/>
      <c r="L305" s="126"/>
      <c r="M305" s="126"/>
      <c r="O305" s="115"/>
      <c r="P305" s="115"/>
      <c r="Q305" s="115"/>
      <c r="R305" s="115"/>
      <c r="S305" s="116"/>
      <c r="T305" s="115"/>
      <c r="U305" s="115"/>
      <c r="V305" s="115"/>
      <c r="W305" s="115"/>
      <c r="X305" s="115"/>
      <c r="Y305" s="115"/>
      <c r="Z305" s="115"/>
      <c r="AA305" s="115"/>
      <c r="AC305" s="31"/>
      <c r="AD305" s="31"/>
      <c r="AE305" s="31"/>
      <c r="AF305" s="31"/>
      <c r="AG305" s="31"/>
      <c r="AH305" s="31"/>
      <c r="AJ305" s="31"/>
      <c r="AK305" s="31"/>
      <c r="AL305" s="31"/>
      <c r="AM305" s="31"/>
      <c r="AO305" s="31"/>
      <c r="AP305" s="31"/>
      <c r="AQ305" s="31"/>
      <c r="AR305" s="31"/>
    </row>
    <row r="306" spans="1:44" s="114" customFormat="1" ht="17">
      <c r="A306" s="362"/>
      <c r="B306" s="39" t="s">
        <v>99</v>
      </c>
      <c r="C306" s="40">
        <v>0</v>
      </c>
      <c r="D306" s="39" t="s">
        <v>99</v>
      </c>
      <c r="E306" s="41">
        <f>C297+C306+C292*C253-C294*C251</f>
        <v>338200</v>
      </c>
      <c r="F306" s="122"/>
      <c r="G306" s="126"/>
      <c r="H306" s="129"/>
      <c r="I306" s="126"/>
      <c r="J306" s="126"/>
      <c r="K306" s="126"/>
      <c r="L306" s="126"/>
      <c r="M306" s="126"/>
      <c r="O306" s="115"/>
      <c r="P306" s="115"/>
      <c r="Q306" s="115"/>
      <c r="R306" s="115"/>
      <c r="S306" s="116"/>
      <c r="T306" s="115"/>
      <c r="U306" s="115"/>
      <c r="V306" s="115"/>
      <c r="W306" s="115"/>
      <c r="X306" s="115"/>
      <c r="Y306" s="115"/>
      <c r="Z306" s="115"/>
      <c r="AA306" s="115"/>
      <c r="AC306" s="31"/>
      <c r="AD306" s="31"/>
      <c r="AE306" s="31"/>
      <c r="AF306" s="31"/>
      <c r="AG306" s="31"/>
      <c r="AH306" s="31"/>
      <c r="AJ306" s="31"/>
      <c r="AK306" s="31"/>
      <c r="AL306" s="31"/>
      <c r="AM306" s="31"/>
      <c r="AO306" s="31"/>
      <c r="AP306" s="31"/>
      <c r="AQ306" s="31"/>
      <c r="AR306" s="31"/>
    </row>
    <row r="307" spans="1:44" s="114" customFormat="1" ht="17">
      <c r="A307" s="362"/>
      <c r="B307" s="39" t="s">
        <v>100</v>
      </c>
      <c r="C307" s="40">
        <v>0</v>
      </c>
      <c r="D307" s="39" t="s">
        <v>100</v>
      </c>
      <c r="E307" s="41">
        <f>C298+C307+C293*C251-C292*C252</f>
        <v>0</v>
      </c>
      <c r="F307" s="122"/>
      <c r="G307" s="126"/>
      <c r="H307" s="129"/>
      <c r="I307" s="126"/>
      <c r="J307" s="126"/>
      <c r="K307" s="126"/>
      <c r="L307" s="126"/>
      <c r="M307" s="126"/>
      <c r="O307" s="115"/>
      <c r="P307" s="115"/>
      <c r="Q307" s="115"/>
      <c r="R307" s="115"/>
      <c r="S307" s="116"/>
      <c r="T307" s="115"/>
      <c r="U307" s="115"/>
      <c r="V307" s="115"/>
      <c r="W307" s="115"/>
      <c r="X307" s="115"/>
      <c r="Y307" s="115"/>
      <c r="Z307" s="115"/>
      <c r="AA307" s="115"/>
      <c r="AC307" s="31"/>
      <c r="AD307" s="31"/>
      <c r="AE307" s="31"/>
      <c r="AF307" s="31"/>
      <c r="AG307" s="31"/>
      <c r="AH307" s="31"/>
      <c r="AJ307" s="31"/>
      <c r="AK307" s="31"/>
      <c r="AL307" s="31"/>
      <c r="AM307" s="31"/>
      <c r="AO307" s="31"/>
      <c r="AP307" s="31"/>
      <c r="AQ307" s="31"/>
      <c r="AR307" s="31"/>
    </row>
    <row r="308" spans="1:44" s="50" customFormat="1" ht="18" thickBot="1">
      <c r="A308" s="363"/>
      <c r="B308" s="55" t="s">
        <v>102</v>
      </c>
      <c r="C308" s="56">
        <v>1</v>
      </c>
      <c r="D308" s="55" t="s">
        <v>102</v>
      </c>
      <c r="E308" s="56">
        <v>1</v>
      </c>
      <c r="F308" s="55"/>
      <c r="G308" s="127"/>
      <c r="H308" s="130"/>
      <c r="I308" s="127"/>
      <c r="J308" s="127"/>
      <c r="K308" s="127"/>
      <c r="L308" s="127"/>
      <c r="M308" s="127"/>
      <c r="O308" s="51"/>
      <c r="P308" s="51"/>
      <c r="Q308" s="51"/>
      <c r="R308" s="51"/>
      <c r="S308" s="52"/>
      <c r="T308" s="51"/>
      <c r="U308" s="51"/>
      <c r="V308" s="51"/>
      <c r="W308" s="51"/>
      <c r="X308" s="51"/>
      <c r="Y308" s="51"/>
      <c r="Z308" s="51"/>
      <c r="AA308" s="51"/>
      <c r="AC308" s="53"/>
      <c r="AD308" s="53"/>
      <c r="AE308" s="53"/>
      <c r="AF308" s="53"/>
      <c r="AG308" s="53"/>
      <c r="AH308" s="53"/>
      <c r="AJ308" s="53"/>
      <c r="AK308" s="53"/>
      <c r="AL308" s="53"/>
      <c r="AM308" s="53"/>
      <c r="AO308" s="53"/>
      <c r="AP308" s="53"/>
      <c r="AQ308" s="53"/>
      <c r="AR308" s="53"/>
    </row>
    <row r="309" spans="1:44" ht="15" customHeight="1">
      <c r="A309" s="348" t="s">
        <v>316</v>
      </c>
      <c r="B309" s="66" t="s">
        <v>236</v>
      </c>
      <c r="E309" s="1" t="s">
        <v>141</v>
      </c>
    </row>
    <row r="310" spans="1:44" ht="15" customHeight="1">
      <c r="A310" s="348"/>
      <c r="B310" s="12" t="s">
        <v>73</v>
      </c>
      <c r="C310" s="54">
        <f>C288</f>
        <v>20</v>
      </c>
      <c r="E310" s="336" t="s">
        <v>130</v>
      </c>
      <c r="F310" s="336"/>
      <c r="G310" s="336" t="s">
        <v>131</v>
      </c>
      <c r="H310" s="336"/>
      <c r="N310" s="33" t="s">
        <v>93</v>
      </c>
      <c r="O310" s="1"/>
      <c r="P310" s="65"/>
      <c r="Q310" s="1"/>
      <c r="R310" s="1"/>
      <c r="S310" s="33" t="s">
        <v>128</v>
      </c>
      <c r="Y310" s="90" t="s">
        <v>283</v>
      </c>
    </row>
    <row r="311" spans="1:44" ht="15" customHeight="1">
      <c r="A311" s="348"/>
      <c r="B311" s="12" t="s">
        <v>74</v>
      </c>
      <c r="C311" s="54">
        <f>C289</f>
        <v>0</v>
      </c>
      <c r="E311" s="44" t="s">
        <v>79</v>
      </c>
      <c r="F311" s="46">
        <f>CS_10!B45</f>
        <v>5.0000000000000001E-3</v>
      </c>
      <c r="G311" s="44" t="s">
        <v>79</v>
      </c>
      <c r="H311" s="46">
        <f>CS_10!B52</f>
        <v>0</v>
      </c>
      <c r="O311" t="s">
        <v>83</v>
      </c>
      <c r="P311" s="7" t="s">
        <v>84</v>
      </c>
      <c r="Q311" s="25" t="s">
        <v>85</v>
      </c>
      <c r="R311" s="25" t="s">
        <v>86</v>
      </c>
      <c r="T311" t="s">
        <v>83</v>
      </c>
      <c r="U311" s="7" t="s">
        <v>84</v>
      </c>
      <c r="V311" s="25" t="s">
        <v>85</v>
      </c>
      <c r="W311" s="25" t="s">
        <v>86</v>
      </c>
      <c r="Y311" t="s">
        <v>83</v>
      </c>
      <c r="Z311" s="7" t="s">
        <v>84</v>
      </c>
      <c r="AA311" s="25" t="s">
        <v>85</v>
      </c>
      <c r="AB311" s="25" t="s">
        <v>86</v>
      </c>
    </row>
    <row r="312" spans="1:44" ht="15" customHeight="1">
      <c r="A312" s="348"/>
      <c r="B312" s="12" t="s">
        <v>75</v>
      </c>
      <c r="C312" s="54">
        <f>C290</f>
        <v>0</v>
      </c>
      <c r="E312" s="44" t="s">
        <v>106</v>
      </c>
      <c r="F312" s="46">
        <f>CS_10!B46</f>
        <v>5.0000000000000001E-3</v>
      </c>
      <c r="G312" s="44" t="s">
        <v>106</v>
      </c>
      <c r="H312" s="46">
        <f>CS_10!B53</f>
        <v>0</v>
      </c>
      <c r="N312" s="44" t="s">
        <v>79</v>
      </c>
      <c r="O312" s="48">
        <f>ABS(F311)</f>
        <v>5.0000000000000001E-3</v>
      </c>
      <c r="P312" s="48">
        <f>ABS(F314*O326)</f>
        <v>0</v>
      </c>
      <c r="Q312" s="48">
        <f>ABS(F315*P326)</f>
        <v>9.9999997615896064E-8</v>
      </c>
      <c r="R312" s="48">
        <f>ABS(F316*Q326)</f>
        <v>1.0000000116860976E-7</v>
      </c>
      <c r="S312" s="44" t="s">
        <v>79</v>
      </c>
      <c r="T312" s="47">
        <f t="array" ref="T312:W315">ABS(MMULT(T330:W333,O312:R315))</f>
        <v>5.0000000000000001E-3</v>
      </c>
      <c r="U312" s="47">
        <v>0</v>
      </c>
      <c r="V312" s="47">
        <v>9.9999997615896064E-8</v>
      </c>
      <c r="W312" s="47">
        <v>1.0000000116860976E-7</v>
      </c>
      <c r="X312" s="68" t="s">
        <v>79</v>
      </c>
      <c r="Y312" s="47">
        <f>F318+F325</f>
        <v>0</v>
      </c>
      <c r="Z312" s="28">
        <f>F321*O326</f>
        <v>0</v>
      </c>
      <c r="AA312" s="28">
        <f>F322*P326</f>
        <v>-5.3960823149918164E-8</v>
      </c>
      <c r="AB312" s="28">
        <f>F323*Q326</f>
        <v>0</v>
      </c>
    </row>
    <row r="313" spans="1:44" ht="15" customHeight="1">
      <c r="A313" s="58">
        <v>10</v>
      </c>
      <c r="B313" s="1" t="s">
        <v>76</v>
      </c>
      <c r="E313" s="44" t="s">
        <v>107</v>
      </c>
      <c r="F313" s="46">
        <f>CS_10!B47</f>
        <v>5.0000000000000001E-3</v>
      </c>
      <c r="G313" s="44" t="s">
        <v>107</v>
      </c>
      <c r="H313" s="46">
        <f>CS_10!B54</f>
        <v>0</v>
      </c>
      <c r="N313" s="44" t="s">
        <v>106</v>
      </c>
      <c r="O313" s="48">
        <f t="shared" ref="O313:O314" si="74">ABS(F312)</f>
        <v>5.0000000000000001E-3</v>
      </c>
      <c r="P313" s="48">
        <f>ABS(F314*O327)</f>
        <v>0</v>
      </c>
      <c r="Q313" s="48">
        <f>ABS(F315*P327)</f>
        <v>0</v>
      </c>
      <c r="R313" s="48">
        <f>ABS(F316*Q327)</f>
        <v>1.9999999966666682E-3</v>
      </c>
      <c r="S313" s="44" t="s">
        <v>106</v>
      </c>
      <c r="T313" s="47">
        <v>5.0000000000000001E-3</v>
      </c>
      <c r="U313" s="47">
        <v>0</v>
      </c>
      <c r="V313" s="47">
        <v>0</v>
      </c>
      <c r="W313" s="47">
        <v>1.9999999966666682E-3</v>
      </c>
      <c r="X313" s="68" t="s">
        <v>106</v>
      </c>
      <c r="Y313" s="47">
        <f t="shared" ref="Y313:Y314" si="75">F319+F326</f>
        <v>0</v>
      </c>
      <c r="Z313" s="28">
        <f>F321*O327</f>
        <v>0</v>
      </c>
      <c r="AA313" s="28">
        <f>F322*P327</f>
        <v>0</v>
      </c>
      <c r="AB313" s="28">
        <f>F323*Q327</f>
        <v>0</v>
      </c>
    </row>
    <row r="314" spans="1:44" ht="15" customHeight="1">
      <c r="A314" s="41">
        <f>IF(A313&gt;Naxes,0,1)</f>
        <v>0</v>
      </c>
      <c r="B314" s="2" t="s">
        <v>168</v>
      </c>
      <c r="C314" s="35">
        <v>0</v>
      </c>
      <c r="E314" s="4" t="s">
        <v>80</v>
      </c>
      <c r="F314" s="46">
        <f>CS_10!B48</f>
        <v>1.0000000000000007E-4</v>
      </c>
      <c r="G314" s="4" t="s">
        <v>80</v>
      </c>
      <c r="H314" s="46">
        <f>CS_10!B55</f>
        <v>0</v>
      </c>
      <c r="N314" s="44" t="s">
        <v>107</v>
      </c>
      <c r="O314" s="48">
        <f t="shared" si="74"/>
        <v>5.0000000000000001E-3</v>
      </c>
      <c r="P314" s="48">
        <f>ABS(F314*O328)</f>
        <v>0</v>
      </c>
      <c r="Q314" s="48">
        <f>ABS(F315*P328)</f>
        <v>1.9999999766666682E-3</v>
      </c>
      <c r="R314" s="48">
        <f>ABS(F316*Q328)</f>
        <v>0</v>
      </c>
      <c r="S314" s="44" t="s">
        <v>107</v>
      </c>
      <c r="T314" s="47">
        <v>5.0000000000000001E-3</v>
      </c>
      <c r="U314" s="47">
        <v>0</v>
      </c>
      <c r="V314" s="47">
        <v>1.9999999766666682E-3</v>
      </c>
      <c r="W314" s="47">
        <v>0</v>
      </c>
      <c r="X314" s="68" t="s">
        <v>107</v>
      </c>
      <c r="Y314" s="47">
        <f t="shared" si="75"/>
        <v>-7.0324574961360125E-4</v>
      </c>
      <c r="Z314" s="28">
        <f>F321*O328</f>
        <v>0</v>
      </c>
      <c r="AA314" s="28">
        <f>F322*P328</f>
        <v>-1.079216476137148E-3</v>
      </c>
      <c r="AB314" s="28">
        <f>F323*Q328</f>
        <v>0</v>
      </c>
    </row>
    <row r="315" spans="1:44" ht="15" customHeight="1">
      <c r="A315" s="346" t="s">
        <v>121</v>
      </c>
      <c r="B315" s="2" t="s">
        <v>170</v>
      </c>
      <c r="C315" s="35">
        <v>0</v>
      </c>
      <c r="E315" s="4" t="s">
        <v>81</v>
      </c>
      <c r="F315" s="46">
        <f>CS_10!B49</f>
        <v>9.9999999000000077E-5</v>
      </c>
      <c r="G315" s="4" t="s">
        <v>81</v>
      </c>
      <c r="H315" s="46">
        <f>CS_10!B56</f>
        <v>0</v>
      </c>
      <c r="N315" s="6" t="s">
        <v>102</v>
      </c>
      <c r="O315" s="28">
        <v>1</v>
      </c>
      <c r="P315" s="28">
        <v>1</v>
      </c>
      <c r="Q315" s="28">
        <v>1</v>
      </c>
      <c r="R315" s="28">
        <v>1</v>
      </c>
      <c r="S315" s="6" t="s">
        <v>102</v>
      </c>
      <c r="T315" s="47">
        <v>1</v>
      </c>
      <c r="U315" s="47">
        <v>1</v>
      </c>
      <c r="V315" s="47">
        <v>1</v>
      </c>
      <c r="W315" s="47">
        <v>1</v>
      </c>
      <c r="X315" s="6" t="s">
        <v>102</v>
      </c>
      <c r="Y315" s="28">
        <v>1</v>
      </c>
      <c r="Z315" s="28">
        <v>1</v>
      </c>
      <c r="AA315" s="28">
        <v>1</v>
      </c>
      <c r="AB315" s="28">
        <v>1</v>
      </c>
    </row>
    <row r="316" spans="1:44" ht="15" customHeight="1">
      <c r="A316" s="346"/>
      <c r="B316" s="2" t="s">
        <v>169</v>
      </c>
      <c r="C316" s="35">
        <v>0</v>
      </c>
      <c r="E316" s="4" t="s">
        <v>82</v>
      </c>
      <c r="F316" s="46">
        <f>CS_10!B50</f>
        <v>1.0000000000000007E-4</v>
      </c>
      <c r="G316" s="4" t="s">
        <v>82</v>
      </c>
      <c r="H316" s="46">
        <f>CS_10!B57</f>
        <v>0</v>
      </c>
      <c r="X316" s="6"/>
    </row>
    <row r="317" spans="1:44" ht="15" customHeight="1">
      <c r="A317" s="346"/>
      <c r="B317" s="2" t="s">
        <v>402</v>
      </c>
      <c r="C317" s="35">
        <v>10</v>
      </c>
      <c r="D317" s="356" t="s">
        <v>417</v>
      </c>
      <c r="E317" s="336" t="s">
        <v>233</v>
      </c>
      <c r="F317" s="336"/>
      <c r="G317" s="336" t="s">
        <v>237</v>
      </c>
      <c r="H317" s="336"/>
      <c r="N317" s="33" t="s">
        <v>94</v>
      </c>
      <c r="O317" s="1"/>
      <c r="P317" s="65"/>
      <c r="Q317" s="1"/>
      <c r="R317" s="1"/>
      <c r="S317" s="33" t="s">
        <v>129</v>
      </c>
      <c r="X317" s="6"/>
      <c r="Y317" s="90" t="s">
        <v>282</v>
      </c>
    </row>
    <row r="318" spans="1:44" ht="15" customHeight="1">
      <c r="A318" s="346"/>
      <c r="B318" s="2" t="s">
        <v>403</v>
      </c>
      <c r="C318" s="36">
        <v>0</v>
      </c>
      <c r="D318" s="356"/>
      <c r="E318" s="44" t="s">
        <v>79</v>
      </c>
      <c r="F318" s="47">
        <f>E334/IF(H318=0,1000000000000,H318)</f>
        <v>0</v>
      </c>
      <c r="G318" s="4" t="s">
        <v>111</v>
      </c>
      <c r="H318" s="28">
        <f>CS_10!B25</f>
        <v>6785.8401317539538</v>
      </c>
      <c r="O318" t="s">
        <v>83</v>
      </c>
      <c r="P318" s="7" t="s">
        <v>84</v>
      </c>
      <c r="Q318" s="25" t="s">
        <v>85</v>
      </c>
      <c r="R318" s="25" t="s">
        <v>86</v>
      </c>
      <c r="T318" t="s">
        <v>83</v>
      </c>
      <c r="U318" s="7" t="s">
        <v>84</v>
      </c>
      <c r="V318" s="25" t="s">
        <v>85</v>
      </c>
      <c r="W318" s="25" t="s">
        <v>86</v>
      </c>
      <c r="X318" s="6"/>
      <c r="Y318" t="s">
        <v>83</v>
      </c>
      <c r="Z318" s="7" t="s">
        <v>84</v>
      </c>
      <c r="AA318" s="25" t="s">
        <v>85</v>
      </c>
      <c r="AB318" s="25" t="s">
        <v>86</v>
      </c>
    </row>
    <row r="319" spans="1:44" ht="15" customHeight="1">
      <c r="A319" s="349" t="s">
        <v>440</v>
      </c>
      <c r="B319" s="2" t="s">
        <v>404</v>
      </c>
      <c r="C319" s="35">
        <v>0</v>
      </c>
      <c r="D319" s="356"/>
      <c r="E319" s="44" t="s">
        <v>106</v>
      </c>
      <c r="F319" s="47">
        <f t="shared" ref="F319:F320" si="76">E335/IF(H319=0,1000000000000,H319)</f>
        <v>0</v>
      </c>
      <c r="G319" s="4" t="s">
        <v>112</v>
      </c>
      <c r="H319" s="28">
        <f>CS_10!B26</f>
        <v>2588000</v>
      </c>
      <c r="N319" s="44" t="s">
        <v>79</v>
      </c>
      <c r="O319" s="48">
        <f>H311</f>
        <v>0</v>
      </c>
      <c r="P319" s="48">
        <f>H314*O326</f>
        <v>0</v>
      </c>
      <c r="Q319" s="48">
        <f>H315*P326</f>
        <v>0</v>
      </c>
      <c r="R319" s="48">
        <f>H316*Q326</f>
        <v>0</v>
      </c>
      <c r="S319" s="44" t="s">
        <v>79</v>
      </c>
      <c r="T319" s="48">
        <f t="array" ref="T319:T322">MMULT(T330:W333,O319:O322)</f>
        <v>0</v>
      </c>
      <c r="U319" s="48">
        <f t="array" ref="U319:U322">MMULT(T330:W333,P319:P322)</f>
        <v>0</v>
      </c>
      <c r="V319" s="48">
        <f t="array" ref="V319:V322">MMULT(T330:W333,Q319:Q322)</f>
        <v>0</v>
      </c>
      <c r="W319" s="48">
        <f t="array" ref="W319:W322">MMULT(T330:W333,R319:R322)</f>
        <v>0</v>
      </c>
      <c r="X319" s="68" t="s">
        <v>79</v>
      </c>
      <c r="Y319" s="28">
        <f t="array" ref="Y319:Y322">MMULT(T330:W333,Y312:Y315)</f>
        <v>0</v>
      </c>
      <c r="Z319" s="28">
        <f t="array" ref="Z319:Z322">MMULT(T330:W333,Z312:Z315)</f>
        <v>0</v>
      </c>
      <c r="AA319" s="28">
        <f t="array" ref="AA319:AA322">MMULT(T330:W333,AA312:AA315)</f>
        <v>-5.3960823149918164E-8</v>
      </c>
      <c r="AB319" s="28">
        <f t="array" ref="AB319:AB322">MMULT(T330:W333,AB312:AB315)</f>
        <v>0</v>
      </c>
    </row>
    <row r="320" spans="1:44" ht="15" customHeight="1">
      <c r="A320" s="350"/>
      <c r="B320" s="297" t="s">
        <v>391</v>
      </c>
      <c r="E320" s="44" t="s">
        <v>107</v>
      </c>
      <c r="F320" s="47">
        <f t="shared" si="76"/>
        <v>-7.0324574961360125E-4</v>
      </c>
      <c r="G320" s="4" t="s">
        <v>113</v>
      </c>
      <c r="H320" s="28">
        <f>CS_10!B27</f>
        <v>2588000</v>
      </c>
      <c r="N320" s="44" t="s">
        <v>106</v>
      </c>
      <c r="O320" s="48">
        <f>H312</f>
        <v>0</v>
      </c>
      <c r="P320" s="48">
        <f>H314*O327</f>
        <v>0</v>
      </c>
      <c r="Q320" s="48">
        <f>H315*P327</f>
        <v>0</v>
      </c>
      <c r="R320" s="48">
        <f>H316*Q327</f>
        <v>0</v>
      </c>
      <c r="S320" s="44" t="s">
        <v>106</v>
      </c>
      <c r="T320" s="48">
        <v>0</v>
      </c>
      <c r="U320" s="48">
        <v>0</v>
      </c>
      <c r="V320" s="48">
        <v>0</v>
      </c>
      <c r="W320" s="48">
        <v>0</v>
      </c>
      <c r="X320" s="68" t="s">
        <v>106</v>
      </c>
      <c r="Y320" s="28">
        <v>0</v>
      </c>
      <c r="Z320" s="28">
        <v>0</v>
      </c>
      <c r="AA320" s="28">
        <v>0</v>
      </c>
      <c r="AB320" s="28">
        <v>0</v>
      </c>
    </row>
    <row r="321" spans="1:62" ht="15" customHeight="1">
      <c r="A321" s="350"/>
      <c r="B321" s="12" t="s">
        <v>405</v>
      </c>
      <c r="C321" s="30">
        <f>AC330+C317</f>
        <v>30</v>
      </c>
      <c r="E321" s="4" t="s">
        <v>80</v>
      </c>
      <c r="F321" s="47">
        <f>E338/IF(H321=0,1000000000000,H321)</f>
        <v>1.9201745613237566E-4</v>
      </c>
      <c r="G321" s="44" t="s">
        <v>8</v>
      </c>
      <c r="H321" s="28">
        <f>CS_10!B29</f>
        <v>6874375000</v>
      </c>
      <c r="N321" s="44" t="s">
        <v>107</v>
      </c>
      <c r="O321" s="48">
        <f>H313</f>
        <v>0</v>
      </c>
      <c r="P321" s="48">
        <f>H314*O328</f>
        <v>0</v>
      </c>
      <c r="Q321" s="48">
        <f>H315*P328</f>
        <v>0</v>
      </c>
      <c r="R321" s="48">
        <f>H316*Q328</f>
        <v>0</v>
      </c>
      <c r="S321" s="44" t="s">
        <v>107</v>
      </c>
      <c r="T321" s="48">
        <v>0</v>
      </c>
      <c r="U321" s="48">
        <v>0</v>
      </c>
      <c r="V321" s="48">
        <v>0</v>
      </c>
      <c r="W321" s="48">
        <v>0</v>
      </c>
      <c r="X321" s="68" t="s">
        <v>107</v>
      </c>
      <c r="Y321" s="28">
        <v>-7.0324574961360125E-4</v>
      </c>
      <c r="Z321" s="28">
        <v>0</v>
      </c>
      <c r="AA321" s="28">
        <v>-1.079216476137148E-3</v>
      </c>
      <c r="AB321" s="28">
        <v>0</v>
      </c>
    </row>
    <row r="322" spans="1:62" ht="15" customHeight="1">
      <c r="A322" s="350"/>
      <c r="B322" s="12" t="s">
        <v>406</v>
      </c>
      <c r="C322" s="30">
        <f>AC331+C318</f>
        <v>0</v>
      </c>
      <c r="E322" s="4" t="s">
        <v>81</v>
      </c>
      <c r="F322" s="47">
        <f t="shared" ref="F322:F323" si="77">E339/IF(H322=0,1000000000000,H322)</f>
        <v>5.3960823896792097E-5</v>
      </c>
      <c r="G322" s="44" t="s">
        <v>114</v>
      </c>
      <c r="H322" s="28">
        <f>CS_10!B30</f>
        <v>6604791666.666667</v>
      </c>
      <c r="N322" s="6" t="s">
        <v>102</v>
      </c>
      <c r="O322" s="28">
        <v>1</v>
      </c>
      <c r="P322" s="28">
        <v>1</v>
      </c>
      <c r="Q322" s="28">
        <v>1</v>
      </c>
      <c r="R322" s="28">
        <v>1</v>
      </c>
      <c r="S322" s="6" t="s">
        <v>102</v>
      </c>
      <c r="T322" s="28">
        <v>1</v>
      </c>
      <c r="U322" s="28">
        <v>1</v>
      </c>
      <c r="V322" s="28">
        <v>1</v>
      </c>
      <c r="W322" s="28">
        <v>1</v>
      </c>
      <c r="X322" s="6" t="s">
        <v>102</v>
      </c>
      <c r="Y322" s="28">
        <v>1</v>
      </c>
      <c r="Z322" s="28">
        <v>1</v>
      </c>
      <c r="AA322" s="28">
        <v>1</v>
      </c>
      <c r="AB322" s="28">
        <v>1</v>
      </c>
    </row>
    <row r="323" spans="1:62" ht="15" customHeight="1">
      <c r="A323" s="350"/>
      <c r="B323" s="12" t="s">
        <v>407</v>
      </c>
      <c r="C323" s="30">
        <f>AC332+C319</f>
        <v>0</v>
      </c>
      <c r="E323" s="4" t="s">
        <v>82</v>
      </c>
      <c r="F323" s="47">
        <f t="shared" si="77"/>
        <v>0</v>
      </c>
      <c r="G323" s="44" t="s">
        <v>110</v>
      </c>
      <c r="H323" s="28">
        <f>CS_10!B31</f>
        <v>6604791666.666667</v>
      </c>
      <c r="AB323" s="5"/>
      <c r="AU323" s="5" t="s">
        <v>67</v>
      </c>
      <c r="AZ323" s="5" t="s">
        <v>87</v>
      </c>
      <c r="BE323" s="5" t="s">
        <v>92</v>
      </c>
      <c r="BJ323" s="5" t="s">
        <v>92</v>
      </c>
    </row>
    <row r="324" spans="1:62" ht="34">
      <c r="A324" s="350"/>
      <c r="B324" s="67" t="s">
        <v>101</v>
      </c>
      <c r="E324" s="336" t="s">
        <v>280</v>
      </c>
      <c r="F324" s="352"/>
      <c r="G324" s="353" t="s">
        <v>279</v>
      </c>
      <c r="H324" s="354"/>
      <c r="I324" s="354"/>
      <c r="J324" s="354"/>
      <c r="K324" s="354"/>
      <c r="L324" s="355"/>
      <c r="M324" s="89" t="s">
        <v>281</v>
      </c>
      <c r="N324" s="82" t="s">
        <v>234</v>
      </c>
      <c r="AE324" s="43" t="s">
        <v>214</v>
      </c>
      <c r="AF324" s="295">
        <f>CS_10!B60</f>
        <v>1.0000000000000007E-4</v>
      </c>
      <c r="AG324" s="43"/>
      <c r="AH324" s="43"/>
      <c r="AI324" s="43"/>
      <c r="AJ324" s="43" t="s">
        <v>88</v>
      </c>
      <c r="AK324" s="296">
        <f>CS_10!B61</f>
        <v>9.9999999000000077E-5</v>
      </c>
      <c r="AL324" s="7"/>
      <c r="AM324" s="7"/>
      <c r="AN324" s="43"/>
      <c r="AO324" s="43" t="s">
        <v>213</v>
      </c>
      <c r="AP324" s="295">
        <f>CS_10!B62</f>
        <v>1.0000000000000007E-4</v>
      </c>
      <c r="AU324" s="7" t="s">
        <v>0</v>
      </c>
      <c r="AV324" s="7" t="s">
        <v>1</v>
      </c>
      <c r="AW324" s="7" t="s">
        <v>2</v>
      </c>
      <c r="AZ324" s="7" t="s">
        <v>0</v>
      </c>
      <c r="BA324" s="7" t="s">
        <v>1</v>
      </c>
      <c r="BB324" s="7" t="s">
        <v>2</v>
      </c>
      <c r="BE324" s="7" t="s">
        <v>0</v>
      </c>
      <c r="BF324" s="7" t="s">
        <v>1</v>
      </c>
      <c r="BG324" s="7" t="s">
        <v>2</v>
      </c>
    </row>
    <row r="325" spans="1:62" ht="15" customHeight="1">
      <c r="A325" s="350"/>
      <c r="B325" s="39" t="s">
        <v>95</v>
      </c>
      <c r="C325" s="41">
        <f t="array" ref="C325:C328">MMULT(O297:R300,E301:E304)</f>
        <v>0</v>
      </c>
      <c r="E325" s="44" t="s">
        <v>79</v>
      </c>
      <c r="F325" s="47">
        <f t="array" ref="F325:F330">MMULT(G325:L330,M325:M330)</f>
        <v>0</v>
      </c>
      <c r="G325" s="124">
        <f>CS_10!G5</f>
        <v>0</v>
      </c>
      <c r="H325" s="124">
        <f>CS_10!H5</f>
        <v>0</v>
      </c>
      <c r="I325" s="124">
        <f>CS_10!I5</f>
        <v>0</v>
      </c>
      <c r="J325" s="124">
        <f>CS_10!J5</f>
        <v>0</v>
      </c>
      <c r="K325" s="124">
        <f>CS_10!K5</f>
        <v>0</v>
      </c>
      <c r="L325" s="124">
        <f>CS_10!L5</f>
        <v>0</v>
      </c>
      <c r="M325" s="28">
        <f>C325</f>
        <v>0</v>
      </c>
      <c r="O325" s="7" t="s">
        <v>4</v>
      </c>
      <c r="P325" s="25" t="s">
        <v>5</v>
      </c>
      <c r="Q325" s="25" t="s">
        <v>6</v>
      </c>
      <c r="R325" s="25"/>
      <c r="S325" s="25"/>
      <c r="T325" s="25"/>
      <c r="U325" s="25"/>
      <c r="V325" s="25"/>
      <c r="W325" s="25"/>
      <c r="X325" s="25"/>
      <c r="Y325" s="25"/>
      <c r="Z325" s="25"/>
      <c r="AA325" s="25"/>
      <c r="AB325" t="s">
        <v>66</v>
      </c>
      <c r="AC325" s="28">
        <f>C310</f>
        <v>20</v>
      </c>
      <c r="AD325" s="28"/>
      <c r="AE325" s="76">
        <v>1</v>
      </c>
      <c r="AF325" s="47">
        <v>0</v>
      </c>
      <c r="AG325" s="47">
        <v>0</v>
      </c>
      <c r="AH325" s="77">
        <v>0</v>
      </c>
      <c r="AI325" s="78"/>
      <c r="AJ325" s="47">
        <f>COS(AK324)</f>
        <v>0.99999999500000014</v>
      </c>
      <c r="AK325" s="47">
        <v>0</v>
      </c>
      <c r="AL325" s="47">
        <f>-AJ327</f>
        <v>9.9999998833333415E-5</v>
      </c>
      <c r="AM325" s="47">
        <v>0</v>
      </c>
      <c r="AN325" s="78"/>
      <c r="AO325" s="47">
        <f>COS(AP324)</f>
        <v>0.99999999500000003</v>
      </c>
      <c r="AP325" s="47">
        <f>-AO326</f>
        <v>-9.9999999833333411E-5</v>
      </c>
      <c r="AQ325" s="47">
        <v>0</v>
      </c>
      <c r="AR325" s="47">
        <v>0</v>
      </c>
      <c r="AS325" s="78"/>
      <c r="AT325" s="28" t="s">
        <v>63</v>
      </c>
      <c r="AU325" s="47">
        <f t="array" ref="AU325:AU328">MMULT(AE325:AH328,$AC325:$AC328)</f>
        <v>20</v>
      </c>
      <c r="AV325" s="47">
        <f>AU325-$AC325</f>
        <v>0</v>
      </c>
      <c r="AW325" s="47">
        <f>AV325/AF324</f>
        <v>0</v>
      </c>
      <c r="AX325" s="78"/>
      <c r="AY325" s="28" t="s">
        <v>63</v>
      </c>
      <c r="AZ325" s="47">
        <f t="array" ref="AZ325:AZ328">MMULT(AJ325:AM328,$AC325:$AC328)</f>
        <v>19.999999900000002</v>
      </c>
      <c r="BA325" s="47">
        <f>AZ325-$AC325</f>
        <v>-9.9999997615896064E-8</v>
      </c>
      <c r="BB325" s="47">
        <f>BA325/AK324</f>
        <v>-9.9999998615895973E-4</v>
      </c>
      <c r="BC325" s="78"/>
      <c r="BD325" s="28" t="s">
        <v>63</v>
      </c>
      <c r="BE325" s="47">
        <f t="array" ref="BE325:BE328">MMULT(AO325:AR328,$AC325:$AC328)</f>
        <v>19.999999899999999</v>
      </c>
      <c r="BF325" s="47">
        <f>BE325-$AC325</f>
        <v>-1.0000000116860974E-7</v>
      </c>
      <c r="BG325" s="47">
        <f>BF325/AP324</f>
        <v>-1.0000000116860968E-3</v>
      </c>
    </row>
    <row r="326" spans="1:62" ht="17">
      <c r="A326" s="350"/>
      <c r="B326" s="39" t="s">
        <v>96</v>
      </c>
      <c r="C326" s="41">
        <v>0</v>
      </c>
      <c r="E326" s="44" t="s">
        <v>106</v>
      </c>
      <c r="F326" s="47">
        <v>0</v>
      </c>
      <c r="G326" s="124">
        <f>CS_10!G6</f>
        <v>0</v>
      </c>
      <c r="H326" s="124">
        <f>CS_10!H6</f>
        <v>0</v>
      </c>
      <c r="I326" s="124">
        <f>CS_10!I6</f>
        <v>0</v>
      </c>
      <c r="J326" s="124">
        <f>CS_10!J6</f>
        <v>0</v>
      </c>
      <c r="K326" s="124">
        <f>CS_10!K6</f>
        <v>0</v>
      </c>
      <c r="L326" s="124">
        <f>CS_10!L6</f>
        <v>0</v>
      </c>
      <c r="M326" s="28">
        <f t="shared" ref="M326:M327" si="78">C326</f>
        <v>0</v>
      </c>
      <c r="N326" s="44" t="s">
        <v>79</v>
      </c>
      <c r="O326" s="30">
        <f>AW325</f>
        <v>0</v>
      </c>
      <c r="P326" s="30">
        <f>BB325</f>
        <v>-9.9999998615895973E-4</v>
      </c>
      <c r="Q326" s="30">
        <f>BG325</f>
        <v>-1.0000000116860968E-3</v>
      </c>
      <c r="AB326" t="s">
        <v>71</v>
      </c>
      <c r="AC326" s="28">
        <f>C311</f>
        <v>0</v>
      </c>
      <c r="AD326" s="28"/>
      <c r="AE326" s="76">
        <v>0</v>
      </c>
      <c r="AF326" s="47">
        <f>COS(AF324)</f>
        <v>0.99999999500000003</v>
      </c>
      <c r="AG326" s="47">
        <f>-SIN(AF324)</f>
        <v>-9.9999999833333411E-5</v>
      </c>
      <c r="AH326" s="77">
        <v>0</v>
      </c>
      <c r="AI326" s="78"/>
      <c r="AJ326" s="47">
        <v>0</v>
      </c>
      <c r="AK326" s="47">
        <v>1</v>
      </c>
      <c r="AL326" s="47">
        <v>0</v>
      </c>
      <c r="AM326" s="47">
        <v>0</v>
      </c>
      <c r="AN326" s="78"/>
      <c r="AO326" s="47">
        <f>SIN(AP324)</f>
        <v>9.9999999833333411E-5</v>
      </c>
      <c r="AP326" s="47">
        <f>AO325</f>
        <v>0.99999999500000003</v>
      </c>
      <c r="AQ326" s="47">
        <v>0</v>
      </c>
      <c r="AR326" s="47">
        <v>0</v>
      </c>
      <c r="AS326" s="78"/>
      <c r="AT326" s="28" t="s">
        <v>64</v>
      </c>
      <c r="AU326" s="47">
        <v>0</v>
      </c>
      <c r="AV326" s="47">
        <f>AU326-$AC326</f>
        <v>0</v>
      </c>
      <c r="AW326" s="47">
        <f>AV326/AF324</f>
        <v>0</v>
      </c>
      <c r="AX326" s="78"/>
      <c r="AY326" s="28" t="s">
        <v>64</v>
      </c>
      <c r="AZ326" s="47">
        <v>0</v>
      </c>
      <c r="BA326" s="47">
        <f>AZ326-$AC326</f>
        <v>0</v>
      </c>
      <c r="BB326" s="47">
        <f>BA326/AK324</f>
        <v>0</v>
      </c>
      <c r="BC326" s="78"/>
      <c r="BD326" s="28" t="s">
        <v>64</v>
      </c>
      <c r="BE326" s="47">
        <v>1.9999999966666682E-3</v>
      </c>
      <c r="BF326" s="47">
        <f>BE326-$AC326</f>
        <v>1.9999999966666682E-3</v>
      </c>
      <c r="BG326" s="47">
        <f>BF326/AP324</f>
        <v>19.999999966666667</v>
      </c>
    </row>
    <row r="327" spans="1:62" ht="17">
      <c r="A327" s="350"/>
      <c r="B327" s="39" t="s">
        <v>97</v>
      </c>
      <c r="C327" s="41">
        <v>-1820</v>
      </c>
      <c r="E327" s="44" t="s">
        <v>107</v>
      </c>
      <c r="F327" s="47">
        <v>0</v>
      </c>
      <c r="G327" s="124">
        <f>CS_10!G7</f>
        <v>0</v>
      </c>
      <c r="H327" s="124">
        <f>CS_10!H7</f>
        <v>0</v>
      </c>
      <c r="I327" s="124">
        <f>CS_10!I7</f>
        <v>0</v>
      </c>
      <c r="J327" s="124">
        <f>CS_10!J7</f>
        <v>0</v>
      </c>
      <c r="K327" s="124">
        <f>CS_10!K7</f>
        <v>0</v>
      </c>
      <c r="L327" s="124">
        <f>CS_10!L7</f>
        <v>0</v>
      </c>
      <c r="M327" s="28">
        <f t="shared" si="78"/>
        <v>-1820</v>
      </c>
      <c r="N327" s="44" t="s">
        <v>106</v>
      </c>
      <c r="O327" s="30">
        <f t="shared" ref="O327:O328" si="79">AW326</f>
        <v>0</v>
      </c>
      <c r="P327" s="30">
        <f t="shared" ref="P327:P328" si="80">BB326</f>
        <v>0</v>
      </c>
      <c r="Q327" s="30">
        <f t="shared" ref="Q327:Q328" si="81">BG326</f>
        <v>19.999999966666667</v>
      </c>
      <c r="AB327" t="s">
        <v>72</v>
      </c>
      <c r="AC327" s="28">
        <f>C312</f>
        <v>0</v>
      </c>
      <c r="AD327" s="28"/>
      <c r="AE327" s="76">
        <v>0</v>
      </c>
      <c r="AF327" s="47">
        <f>-AG326</f>
        <v>9.9999999833333411E-5</v>
      </c>
      <c r="AG327" s="47">
        <f>AF326</f>
        <v>0.99999999500000003</v>
      </c>
      <c r="AH327" s="77">
        <v>0</v>
      </c>
      <c r="AI327" s="78"/>
      <c r="AJ327" s="47">
        <f>-SIN(AK324)</f>
        <v>-9.9999998833333415E-5</v>
      </c>
      <c r="AK327" s="47">
        <v>0</v>
      </c>
      <c r="AL327" s="47">
        <f>COS(AK324)</f>
        <v>0.99999999500000014</v>
      </c>
      <c r="AM327" s="47">
        <v>0</v>
      </c>
      <c r="AN327" s="78"/>
      <c r="AO327" s="47">
        <v>0</v>
      </c>
      <c r="AP327" s="47">
        <v>0</v>
      </c>
      <c r="AQ327" s="47">
        <v>1</v>
      </c>
      <c r="AR327" s="47">
        <v>0</v>
      </c>
      <c r="AS327" s="78"/>
      <c r="AT327" s="28" t="s">
        <v>65</v>
      </c>
      <c r="AU327" s="47">
        <v>0</v>
      </c>
      <c r="AV327" s="47">
        <f>AU327-$AC327</f>
        <v>0</v>
      </c>
      <c r="AW327" s="47">
        <f>AV327/AF324</f>
        <v>0</v>
      </c>
      <c r="AX327" s="78"/>
      <c r="AY327" s="28" t="s">
        <v>65</v>
      </c>
      <c r="AZ327" s="47">
        <v>-1.9999999766666682E-3</v>
      </c>
      <c r="BA327" s="47">
        <f>AZ327-$AC327</f>
        <v>-1.9999999766666682E-3</v>
      </c>
      <c r="BB327" s="47">
        <f>BA327/AK324</f>
        <v>-19.999999966666667</v>
      </c>
      <c r="BC327" s="78"/>
      <c r="BD327" s="28" t="s">
        <v>65</v>
      </c>
      <c r="BE327" s="47">
        <v>0</v>
      </c>
      <c r="BF327" s="47">
        <f>BE327-$AC327</f>
        <v>0</v>
      </c>
      <c r="BG327" s="47">
        <f>BF327/AP324</f>
        <v>0</v>
      </c>
    </row>
    <row r="328" spans="1:62" ht="15" customHeight="1">
      <c r="A328" s="350"/>
      <c r="B328" s="39" t="s">
        <v>102</v>
      </c>
      <c r="C328" s="41">
        <v>1</v>
      </c>
      <c r="E328" s="4" t="s">
        <v>80</v>
      </c>
      <c r="F328" s="47">
        <v>0</v>
      </c>
      <c r="G328" s="124">
        <f>CS_10!G8</f>
        <v>0</v>
      </c>
      <c r="H328" s="124">
        <f>CS_10!H8</f>
        <v>0</v>
      </c>
      <c r="I328" s="124">
        <f>CS_10!I8</f>
        <v>0</v>
      </c>
      <c r="J328" s="124">
        <f>CS_10!J8</f>
        <v>0</v>
      </c>
      <c r="K328" s="124">
        <f>CS_10!K8</f>
        <v>0</v>
      </c>
      <c r="L328" s="124">
        <f>CS_10!L8</f>
        <v>0</v>
      </c>
      <c r="M328" s="28">
        <f>C329</f>
        <v>1320000</v>
      </c>
      <c r="N328" s="44" t="s">
        <v>107</v>
      </c>
      <c r="O328" s="30">
        <f t="shared" si="79"/>
        <v>0</v>
      </c>
      <c r="P328" s="30">
        <f t="shared" si="80"/>
        <v>-19.999999966666667</v>
      </c>
      <c r="Q328" s="30">
        <f t="shared" si="81"/>
        <v>0</v>
      </c>
      <c r="AC328" s="28">
        <v>1</v>
      </c>
      <c r="AD328" s="28"/>
      <c r="AE328" s="76">
        <v>0</v>
      </c>
      <c r="AF328" s="47">
        <v>0</v>
      </c>
      <c r="AG328" s="47">
        <v>0</v>
      </c>
      <c r="AH328" s="77">
        <v>1</v>
      </c>
      <c r="AI328" s="78"/>
      <c r="AJ328" s="47">
        <v>0</v>
      </c>
      <c r="AK328" s="47">
        <v>0</v>
      </c>
      <c r="AL328" s="47">
        <v>0</v>
      </c>
      <c r="AM328" s="47">
        <v>1</v>
      </c>
      <c r="AN328" s="78"/>
      <c r="AO328" s="47">
        <v>0</v>
      </c>
      <c r="AP328" s="47">
        <v>0</v>
      </c>
      <c r="AQ328" s="47">
        <v>0</v>
      </c>
      <c r="AR328" s="47">
        <v>1</v>
      </c>
      <c r="AS328" s="78"/>
      <c r="AT328" s="28"/>
      <c r="AU328" s="47">
        <v>1</v>
      </c>
      <c r="AV328" s="47"/>
      <c r="AW328" s="47"/>
      <c r="AX328" s="78"/>
      <c r="AY328" s="28"/>
      <c r="AZ328" s="47">
        <v>1</v>
      </c>
      <c r="BA328" s="47"/>
      <c r="BB328" s="47"/>
      <c r="BC328" s="78"/>
      <c r="BD328" s="28"/>
      <c r="BE328" s="47">
        <v>1</v>
      </c>
      <c r="BF328" s="47"/>
      <c r="BG328" s="47"/>
    </row>
    <row r="329" spans="1:62" ht="15" customHeight="1">
      <c r="A329" s="350"/>
      <c r="B329" s="39" t="s">
        <v>98</v>
      </c>
      <c r="C329" s="41">
        <f t="array" ref="C329:C332">MMULT(O297:R300,E305:E308)</f>
        <v>1320000</v>
      </c>
      <c r="E329" s="4" t="s">
        <v>81</v>
      </c>
      <c r="F329" s="47">
        <v>0</v>
      </c>
      <c r="G329" s="124">
        <f>CS_10!G9</f>
        <v>0</v>
      </c>
      <c r="H329" s="124">
        <f>CS_10!H9</f>
        <v>0</v>
      </c>
      <c r="I329" s="124">
        <f>CS_10!I9</f>
        <v>0</v>
      </c>
      <c r="J329" s="124">
        <f>CS_10!J9</f>
        <v>0</v>
      </c>
      <c r="K329" s="124">
        <f>CS_10!K9</f>
        <v>0</v>
      </c>
      <c r="L329" s="124">
        <f>CS_10!L9</f>
        <v>0</v>
      </c>
      <c r="M329" s="28">
        <f>C330</f>
        <v>338200</v>
      </c>
      <c r="O329" s="3" t="s">
        <v>77</v>
      </c>
      <c r="S329">
        <v>1</v>
      </c>
      <c r="T329" s="3" t="s">
        <v>78</v>
      </c>
      <c r="AE329" t="s">
        <v>90</v>
      </c>
      <c r="AJ329" t="s">
        <v>89</v>
      </c>
      <c r="AO329" t="s">
        <v>91</v>
      </c>
    </row>
    <row r="330" spans="1:62" ht="15" customHeight="1">
      <c r="A330" s="350"/>
      <c r="B330" s="39" t="s">
        <v>99</v>
      </c>
      <c r="C330" s="41">
        <v>338200</v>
      </c>
      <c r="E330" s="4" t="s">
        <v>82</v>
      </c>
      <c r="F330" s="47">
        <v>0</v>
      </c>
      <c r="G330" s="124">
        <f>CS_10!G10</f>
        <v>0</v>
      </c>
      <c r="H330" s="124">
        <f>CS_10!H10</f>
        <v>0</v>
      </c>
      <c r="I330" s="124">
        <f>CS_10!I10</f>
        <v>0</v>
      </c>
      <c r="J330" s="124">
        <f>CS_10!J10</f>
        <v>0</v>
      </c>
      <c r="K330" s="124">
        <f>CS_10!K10</f>
        <v>0</v>
      </c>
      <c r="L330" s="124">
        <f>CS_10!L10</f>
        <v>0</v>
      </c>
      <c r="M330" s="28">
        <f>C331</f>
        <v>0</v>
      </c>
      <c r="O330" s="30">
        <f t="array" ref="O330:R333">MMULT(AO330:AR333,MMULT(AJ330:AM333,AE330:AH333))</f>
        <v>1</v>
      </c>
      <c r="P330" s="30">
        <v>0</v>
      </c>
      <c r="Q330" s="30">
        <v>0</v>
      </c>
      <c r="R330" s="30">
        <v>0</v>
      </c>
      <c r="S330" s="11"/>
      <c r="T330" s="30">
        <f t="array" ref="T330:W333">IF(A351=1,MMULT(T363:W366,O330:R333),T$363:W$366)</f>
        <v>1</v>
      </c>
      <c r="U330" s="30">
        <v>0</v>
      </c>
      <c r="V330" s="30">
        <v>0</v>
      </c>
      <c r="W330" s="30">
        <v>0</v>
      </c>
      <c r="X330" s="30"/>
      <c r="Y330" s="30"/>
      <c r="Z330" s="30"/>
      <c r="AA330" s="30"/>
      <c r="AB330" t="s">
        <v>68</v>
      </c>
      <c r="AC330" s="28">
        <f t="array" ref="AC330:AC333">MMULT(O330:R333,AC325:AC328)</f>
        <v>20</v>
      </c>
      <c r="AD330" s="28"/>
      <c r="AE330" s="27">
        <v>1</v>
      </c>
      <c r="AF330" s="28">
        <v>0</v>
      </c>
      <c r="AG330" s="28">
        <v>0</v>
      </c>
      <c r="AH330" s="29">
        <v>0</v>
      </c>
      <c r="AJ330" s="27">
        <f>COS(PI()*C315/180)</f>
        <v>1</v>
      </c>
      <c r="AK330" s="28">
        <v>0</v>
      </c>
      <c r="AL330" s="28">
        <f>SIN(PI()*C315/180)</f>
        <v>0</v>
      </c>
      <c r="AM330" s="29">
        <v>0</v>
      </c>
      <c r="AO330" s="27">
        <f>COS(PI()*C316/180)</f>
        <v>1</v>
      </c>
      <c r="AP330" s="28">
        <f>-SIN(PI()*C316/180)</f>
        <v>0</v>
      </c>
      <c r="AQ330" s="28">
        <v>0</v>
      </c>
      <c r="AR330" s="29">
        <v>0</v>
      </c>
    </row>
    <row r="331" spans="1:62" ht="15" customHeight="1">
      <c r="A331" s="350"/>
      <c r="B331" s="39" t="s">
        <v>100</v>
      </c>
      <c r="C331" s="41">
        <v>0</v>
      </c>
      <c r="G331" s="105"/>
      <c r="H331" s="105"/>
      <c r="I331" s="105"/>
      <c r="J331" s="117"/>
      <c r="K331" s="117"/>
      <c r="L331" s="117"/>
      <c r="M331" s="117"/>
      <c r="O331" s="30">
        <v>0</v>
      </c>
      <c r="P331" s="30">
        <v>1</v>
      </c>
      <c r="Q331" s="30">
        <v>0</v>
      </c>
      <c r="R331" s="30">
        <v>0</v>
      </c>
      <c r="S331" s="11"/>
      <c r="T331" s="30">
        <v>0</v>
      </c>
      <c r="U331" s="30">
        <v>1</v>
      </c>
      <c r="V331" s="30">
        <v>0</v>
      </c>
      <c r="W331" s="30">
        <v>0</v>
      </c>
      <c r="X331" s="30"/>
      <c r="Y331" s="30"/>
      <c r="Z331" s="30"/>
      <c r="AA331" s="30"/>
      <c r="AB331" t="s">
        <v>69</v>
      </c>
      <c r="AC331" s="28">
        <v>0</v>
      </c>
      <c r="AD331" s="28"/>
      <c r="AE331" s="27">
        <v>0</v>
      </c>
      <c r="AF331" s="28">
        <f>COS(PI()*C314/180)</f>
        <v>1</v>
      </c>
      <c r="AG331" s="28">
        <f>-SIN(PI()*C314/180)</f>
        <v>0</v>
      </c>
      <c r="AH331" s="29">
        <v>0</v>
      </c>
      <c r="AJ331" s="27">
        <v>0</v>
      </c>
      <c r="AK331" s="28">
        <v>1</v>
      </c>
      <c r="AL331" s="28">
        <v>0</v>
      </c>
      <c r="AM331" s="29">
        <v>0</v>
      </c>
      <c r="AO331" s="27">
        <f>SIN(PI()*C316/180)</f>
        <v>0</v>
      </c>
      <c r="AP331" s="28">
        <f>AO330</f>
        <v>1</v>
      </c>
      <c r="AQ331" s="28">
        <v>0</v>
      </c>
      <c r="AR331" s="29">
        <v>0</v>
      </c>
    </row>
    <row r="332" spans="1:62" ht="15" customHeight="1">
      <c r="A332" s="350"/>
      <c r="B332" s="39" t="s">
        <v>102</v>
      </c>
      <c r="C332" s="41">
        <v>1</v>
      </c>
      <c r="G332" s="105"/>
      <c r="H332" s="105"/>
      <c r="I332" s="105"/>
      <c r="J332" s="117"/>
      <c r="K332" s="117"/>
      <c r="L332" s="117"/>
      <c r="M332" s="117"/>
      <c r="O332" s="30">
        <v>0</v>
      </c>
      <c r="P332" s="30">
        <v>0</v>
      </c>
      <c r="Q332" s="30">
        <v>1</v>
      </c>
      <c r="R332" s="30">
        <v>0</v>
      </c>
      <c r="S332" s="11"/>
      <c r="T332" s="30">
        <v>0</v>
      </c>
      <c r="U332" s="30">
        <v>0</v>
      </c>
      <c r="V332" s="30">
        <v>1</v>
      </c>
      <c r="W332" s="30">
        <v>0</v>
      </c>
      <c r="X332" s="30"/>
      <c r="Y332" s="30"/>
      <c r="Z332" s="30"/>
      <c r="AA332" s="30"/>
      <c r="AB332" t="s">
        <v>70</v>
      </c>
      <c r="AC332" s="28">
        <v>0</v>
      </c>
      <c r="AD332" s="28"/>
      <c r="AE332" s="27">
        <v>0</v>
      </c>
      <c r="AF332" s="28">
        <f>SIN(PI()*C314/180)</f>
        <v>0</v>
      </c>
      <c r="AG332" s="28">
        <f>AF331</f>
        <v>1</v>
      </c>
      <c r="AH332" s="29">
        <v>0</v>
      </c>
      <c r="AJ332" s="27">
        <f>-SIN(PI()*C315/180)</f>
        <v>0</v>
      </c>
      <c r="AK332" s="28">
        <v>0</v>
      </c>
      <c r="AL332" s="28">
        <f>AJ330</f>
        <v>1</v>
      </c>
      <c r="AM332" s="29">
        <v>0</v>
      </c>
      <c r="AO332" s="27">
        <v>0</v>
      </c>
      <c r="AP332" s="28">
        <v>0</v>
      </c>
      <c r="AQ332" s="28">
        <v>1</v>
      </c>
      <c r="AR332" s="29">
        <v>0</v>
      </c>
    </row>
    <row r="333" spans="1:62" s="114" customFormat="1">
      <c r="A333" s="350"/>
      <c r="B333" s="75" t="s">
        <v>173</v>
      </c>
      <c r="C333"/>
      <c r="D333" s="87" t="s">
        <v>232</v>
      </c>
      <c r="E333"/>
      <c r="G333" s="119"/>
      <c r="H333" s="119"/>
      <c r="I333" s="119"/>
      <c r="J333" s="126"/>
      <c r="K333" s="126"/>
      <c r="L333" s="126"/>
      <c r="M333" s="126"/>
      <c r="O333" s="115">
        <v>0</v>
      </c>
      <c r="P333" s="115">
        <v>0</v>
      </c>
      <c r="Q333" s="115">
        <v>0</v>
      </c>
      <c r="R333" s="115">
        <v>1</v>
      </c>
      <c r="S333" s="116"/>
      <c r="T333" s="115">
        <v>0</v>
      </c>
      <c r="U333" s="115">
        <v>0</v>
      </c>
      <c r="V333" s="115">
        <v>0</v>
      </c>
      <c r="W333" s="115">
        <v>1</v>
      </c>
      <c r="X333" s="115"/>
      <c r="Y333" s="115"/>
      <c r="Z333" s="115"/>
      <c r="AA333" s="115"/>
      <c r="AC333" s="31">
        <v>1</v>
      </c>
      <c r="AD333" s="31"/>
      <c r="AE333" s="31">
        <v>0</v>
      </c>
      <c r="AF333" s="31">
        <v>0</v>
      </c>
      <c r="AG333" s="31">
        <v>0</v>
      </c>
      <c r="AH333" s="31">
        <v>1</v>
      </c>
      <c r="AJ333" s="31">
        <v>0</v>
      </c>
      <c r="AK333" s="31">
        <v>0</v>
      </c>
      <c r="AL333" s="31">
        <v>0</v>
      </c>
      <c r="AM333" s="31">
        <v>1</v>
      </c>
      <c r="AO333" s="31">
        <v>0</v>
      </c>
      <c r="AP333" s="31">
        <v>0</v>
      </c>
      <c r="AQ333" s="31">
        <v>0</v>
      </c>
      <c r="AR333" s="31">
        <v>1</v>
      </c>
    </row>
    <row r="334" spans="1:62" s="114" customFormat="1" ht="17">
      <c r="A334" s="350"/>
      <c r="B334" s="39" t="s">
        <v>95</v>
      </c>
      <c r="C334" s="40">
        <v>0</v>
      </c>
      <c r="D334" s="39" t="s">
        <v>95</v>
      </c>
      <c r="E334" s="41">
        <f>C325+C334</f>
        <v>0</v>
      </c>
      <c r="F334" s="122"/>
      <c r="G334" s="126"/>
      <c r="H334" s="129"/>
      <c r="I334" s="126"/>
      <c r="J334" s="126"/>
      <c r="K334" s="126"/>
      <c r="L334" s="126"/>
      <c r="M334" s="126"/>
      <c r="O334" s="115"/>
      <c r="P334" s="115"/>
      <c r="Q334" s="115"/>
      <c r="R334" s="115"/>
      <c r="S334" s="116"/>
      <c r="T334" s="115"/>
      <c r="U334" s="115"/>
      <c r="V334" s="115"/>
      <c r="W334" s="115"/>
      <c r="X334" s="115"/>
      <c r="Y334" s="115"/>
      <c r="Z334" s="115"/>
      <c r="AA334" s="115"/>
      <c r="AC334" s="31"/>
      <c r="AD334" s="31"/>
      <c r="AE334" s="31"/>
      <c r="AF334" s="31"/>
      <c r="AG334" s="31"/>
      <c r="AH334" s="31"/>
      <c r="AJ334" s="31"/>
      <c r="AK334" s="31"/>
      <c r="AL334" s="31"/>
      <c r="AM334" s="31"/>
      <c r="AO334" s="31"/>
      <c r="AP334" s="31"/>
      <c r="AQ334" s="31"/>
      <c r="AR334" s="31"/>
    </row>
    <row r="335" spans="1:62" s="114" customFormat="1" ht="17">
      <c r="A335" s="350"/>
      <c r="B335" s="39" t="s">
        <v>96</v>
      </c>
      <c r="C335" s="40">
        <v>0</v>
      </c>
      <c r="D335" s="39" t="s">
        <v>96</v>
      </c>
      <c r="E335" s="41">
        <f>C326+C335</f>
        <v>0</v>
      </c>
      <c r="F335" s="122"/>
      <c r="G335" s="126"/>
      <c r="H335" s="129"/>
      <c r="I335" s="126"/>
      <c r="J335" s="126"/>
      <c r="K335" s="126"/>
      <c r="L335" s="126"/>
      <c r="M335" s="126"/>
      <c r="O335" s="115"/>
      <c r="P335" s="115"/>
      <c r="Q335" s="115"/>
      <c r="R335" s="115"/>
      <c r="S335" s="116"/>
      <c r="T335" s="115"/>
      <c r="U335" s="115"/>
      <c r="V335" s="115"/>
      <c r="W335" s="115"/>
      <c r="X335" s="115"/>
      <c r="Y335" s="115"/>
      <c r="Z335" s="115"/>
      <c r="AA335" s="115"/>
      <c r="AC335" s="31"/>
      <c r="AD335" s="31"/>
      <c r="AE335" s="31"/>
      <c r="AF335" s="31"/>
      <c r="AG335" s="31"/>
      <c r="AH335" s="31"/>
      <c r="AJ335" s="31"/>
      <c r="AK335" s="31"/>
      <c r="AL335" s="31"/>
      <c r="AM335" s="31"/>
      <c r="AO335" s="31"/>
      <c r="AP335" s="31"/>
      <c r="AQ335" s="31"/>
      <c r="AR335" s="31"/>
    </row>
    <row r="336" spans="1:62" s="114" customFormat="1" ht="17">
      <c r="A336" s="350"/>
      <c r="B336" s="39" t="s">
        <v>97</v>
      </c>
      <c r="C336" s="40">
        <v>0</v>
      </c>
      <c r="D336" s="39" t="s">
        <v>97</v>
      </c>
      <c r="E336" s="41">
        <f>C327+C336</f>
        <v>-1820</v>
      </c>
      <c r="F336" s="122"/>
      <c r="G336" s="126"/>
      <c r="H336" s="129"/>
      <c r="I336" s="126"/>
      <c r="J336" s="126"/>
      <c r="K336" s="126"/>
      <c r="L336" s="126"/>
      <c r="M336" s="126"/>
      <c r="O336" s="115"/>
      <c r="P336" s="115"/>
      <c r="Q336" s="115"/>
      <c r="R336" s="115"/>
      <c r="S336" s="116"/>
      <c r="T336" s="115"/>
      <c r="U336" s="115"/>
      <c r="V336" s="115"/>
      <c r="W336" s="115"/>
      <c r="X336" s="115"/>
      <c r="Y336" s="115"/>
      <c r="Z336" s="115"/>
      <c r="AA336" s="115"/>
      <c r="AC336" s="31"/>
      <c r="AD336" s="31"/>
      <c r="AE336" s="31"/>
      <c r="AF336" s="31"/>
      <c r="AG336" s="31"/>
      <c r="AH336" s="31"/>
      <c r="AJ336" s="31"/>
      <c r="AK336" s="31"/>
      <c r="AL336" s="31"/>
      <c r="AM336" s="31"/>
      <c r="AO336" s="31"/>
      <c r="AP336" s="31"/>
      <c r="AQ336" s="31"/>
      <c r="AR336" s="31"/>
    </row>
    <row r="337" spans="1:44" s="114" customFormat="1" ht="17">
      <c r="A337" s="350"/>
      <c r="B337" s="122" t="s">
        <v>102</v>
      </c>
      <c r="C337" s="123">
        <v>1</v>
      </c>
      <c r="D337" s="122" t="s">
        <v>102</v>
      </c>
      <c r="E337" s="123">
        <v>1</v>
      </c>
      <c r="F337" s="122"/>
      <c r="G337" s="126"/>
      <c r="H337" s="129"/>
      <c r="I337" s="126"/>
      <c r="J337" s="126"/>
      <c r="K337" s="126"/>
      <c r="L337" s="126"/>
      <c r="M337" s="126"/>
      <c r="O337" s="115"/>
      <c r="P337" s="115"/>
      <c r="Q337" s="115"/>
      <c r="R337" s="115"/>
      <c r="S337" s="116"/>
      <c r="T337" s="115"/>
      <c r="U337" s="115"/>
      <c r="V337" s="115"/>
      <c r="W337" s="115"/>
      <c r="X337" s="115"/>
      <c r="Y337" s="115"/>
      <c r="Z337" s="115"/>
      <c r="AA337" s="115"/>
      <c r="AC337" s="31"/>
      <c r="AD337" s="31"/>
      <c r="AE337" s="31"/>
      <c r="AF337" s="31"/>
      <c r="AG337" s="31"/>
      <c r="AH337" s="31"/>
      <c r="AJ337" s="31"/>
      <c r="AK337" s="31"/>
      <c r="AL337" s="31"/>
      <c r="AM337" s="31"/>
      <c r="AO337" s="31"/>
      <c r="AP337" s="31"/>
      <c r="AQ337" s="31"/>
      <c r="AR337" s="31"/>
    </row>
    <row r="338" spans="1:44" s="114" customFormat="1" ht="17">
      <c r="A338" s="350"/>
      <c r="B338" s="39" t="s">
        <v>98</v>
      </c>
      <c r="C338" s="40">
        <v>0</v>
      </c>
      <c r="D338" s="39" t="s">
        <v>98</v>
      </c>
      <c r="E338" s="41">
        <f>C329+C338+C327*C285-C326*C286</f>
        <v>1320000</v>
      </c>
      <c r="F338" s="122"/>
      <c r="G338" s="126"/>
      <c r="H338" s="129"/>
      <c r="I338" s="126"/>
      <c r="J338" s="126"/>
      <c r="K338" s="126"/>
      <c r="L338" s="126"/>
      <c r="M338" s="126"/>
      <c r="O338" s="115"/>
      <c r="P338" s="115"/>
      <c r="Q338" s="115"/>
      <c r="R338" s="115"/>
      <c r="S338" s="116"/>
      <c r="T338" s="115"/>
      <c r="U338" s="115"/>
      <c r="V338" s="115"/>
      <c r="W338" s="115"/>
      <c r="X338" s="115"/>
      <c r="Y338" s="115"/>
      <c r="Z338" s="115"/>
      <c r="AA338" s="115"/>
      <c r="AC338" s="31"/>
      <c r="AD338" s="31"/>
      <c r="AE338" s="31"/>
      <c r="AF338" s="31"/>
      <c r="AG338" s="31"/>
      <c r="AH338" s="31"/>
      <c r="AJ338" s="31"/>
      <c r="AK338" s="31"/>
      <c r="AL338" s="31"/>
      <c r="AM338" s="31"/>
      <c r="AO338" s="31"/>
      <c r="AP338" s="31"/>
      <c r="AQ338" s="31"/>
      <c r="AR338" s="31"/>
    </row>
    <row r="339" spans="1:44" s="114" customFormat="1" ht="17">
      <c r="A339" s="350"/>
      <c r="B339" s="39" t="s">
        <v>99</v>
      </c>
      <c r="C339" s="40">
        <v>0</v>
      </c>
      <c r="D339" s="39" t="s">
        <v>99</v>
      </c>
      <c r="E339" s="41">
        <f>C330+C339+C325*C286-C327*C284</f>
        <v>356400</v>
      </c>
      <c r="F339" s="122"/>
      <c r="G339" s="126"/>
      <c r="H339" s="129"/>
      <c r="I339" s="126"/>
      <c r="J339" s="126"/>
      <c r="K339" s="126"/>
      <c r="L339" s="126"/>
      <c r="M339" s="126"/>
      <c r="O339" s="115"/>
      <c r="P339" s="115"/>
      <c r="Q339" s="115"/>
      <c r="R339" s="115"/>
      <c r="S339" s="116"/>
      <c r="T339" s="115"/>
      <c r="U339" s="115"/>
      <c r="V339" s="115"/>
      <c r="W339" s="115"/>
      <c r="X339" s="115"/>
      <c r="Y339" s="115"/>
      <c r="Z339" s="115"/>
      <c r="AA339" s="115"/>
      <c r="AC339" s="31"/>
      <c r="AD339" s="31"/>
      <c r="AE339" s="31"/>
      <c r="AF339" s="31"/>
      <c r="AG339" s="31"/>
      <c r="AH339" s="31"/>
      <c r="AJ339" s="31"/>
      <c r="AK339" s="31"/>
      <c r="AL339" s="31"/>
      <c r="AM339" s="31"/>
      <c r="AO339" s="31"/>
      <c r="AP339" s="31"/>
      <c r="AQ339" s="31"/>
      <c r="AR339" s="31"/>
    </row>
    <row r="340" spans="1:44" s="114" customFormat="1" ht="17">
      <c r="A340" s="350"/>
      <c r="B340" s="39" t="s">
        <v>100</v>
      </c>
      <c r="C340" s="40">
        <v>0</v>
      </c>
      <c r="D340" s="39" t="s">
        <v>100</v>
      </c>
      <c r="E340" s="41">
        <f>C331+C340+C326*C284-C325*C285</f>
        <v>0</v>
      </c>
      <c r="F340" s="122"/>
      <c r="G340" s="126"/>
      <c r="H340" s="129"/>
      <c r="I340" s="126"/>
      <c r="J340" s="126"/>
      <c r="K340" s="126"/>
      <c r="L340" s="126"/>
      <c r="M340" s="126"/>
      <c r="O340" s="115"/>
      <c r="P340" s="115"/>
      <c r="Q340" s="115"/>
      <c r="R340" s="115"/>
      <c r="S340" s="116"/>
      <c r="T340" s="115"/>
      <c r="U340" s="115"/>
      <c r="V340" s="115"/>
      <c r="W340" s="115"/>
      <c r="X340" s="115"/>
      <c r="Y340" s="115"/>
      <c r="Z340" s="115"/>
      <c r="AA340" s="115"/>
      <c r="AC340" s="31"/>
      <c r="AD340" s="31"/>
      <c r="AE340" s="31"/>
      <c r="AF340" s="31"/>
      <c r="AG340" s="31"/>
      <c r="AH340" s="31"/>
      <c r="AJ340" s="31"/>
      <c r="AK340" s="31"/>
      <c r="AL340" s="31"/>
      <c r="AM340" s="31"/>
      <c r="AO340" s="31"/>
      <c r="AP340" s="31"/>
      <c r="AQ340" s="31"/>
      <c r="AR340" s="31"/>
    </row>
    <row r="341" spans="1:44" s="50" customFormat="1" ht="18" thickBot="1">
      <c r="A341" s="351"/>
      <c r="B341" s="55" t="s">
        <v>102</v>
      </c>
      <c r="C341" s="56">
        <v>1</v>
      </c>
      <c r="D341" s="55" t="s">
        <v>102</v>
      </c>
      <c r="E341" s="56">
        <v>1</v>
      </c>
      <c r="F341" s="55"/>
      <c r="G341" s="127"/>
      <c r="H341" s="130"/>
      <c r="I341" s="127"/>
      <c r="J341" s="127"/>
      <c r="K341" s="127"/>
      <c r="L341" s="127"/>
      <c r="M341" s="127"/>
      <c r="O341" s="51"/>
      <c r="P341" s="51"/>
      <c r="Q341" s="51"/>
      <c r="R341" s="51"/>
      <c r="S341" s="52"/>
      <c r="T341" s="51"/>
      <c r="U341" s="51"/>
      <c r="V341" s="51"/>
      <c r="W341" s="51"/>
      <c r="X341" s="51"/>
      <c r="Y341" s="51"/>
      <c r="Z341" s="51"/>
      <c r="AA341" s="51"/>
      <c r="AC341" s="53"/>
      <c r="AD341" s="53"/>
      <c r="AE341" s="53"/>
      <c r="AF341" s="53"/>
      <c r="AG341" s="53"/>
      <c r="AH341" s="53"/>
      <c r="AJ341" s="53"/>
      <c r="AK341" s="53"/>
      <c r="AL341" s="53"/>
      <c r="AM341" s="53"/>
      <c r="AO341" s="53"/>
      <c r="AP341" s="53"/>
      <c r="AQ341" s="53"/>
      <c r="AR341" s="53"/>
    </row>
    <row r="358" spans="19:23">
      <c r="S358" s="25"/>
    </row>
    <row r="362" spans="19:23">
      <c r="T362" s="28" t="s">
        <v>120</v>
      </c>
    </row>
    <row r="363" spans="19:23">
      <c r="T363" s="59">
        <v>1</v>
      </c>
      <c r="U363" s="60">
        <v>0</v>
      </c>
      <c r="V363" s="60">
        <v>0</v>
      </c>
      <c r="W363" s="61">
        <v>0</v>
      </c>
    </row>
    <row r="364" spans="19:23">
      <c r="T364" s="27">
        <v>0</v>
      </c>
      <c r="U364" s="31">
        <v>1</v>
      </c>
      <c r="V364" s="31">
        <v>0</v>
      </c>
      <c r="W364" s="29">
        <v>0</v>
      </c>
    </row>
    <row r="365" spans="19:23">
      <c r="T365" s="27">
        <v>0</v>
      </c>
      <c r="U365" s="31">
        <v>0</v>
      </c>
      <c r="V365" s="31">
        <v>1</v>
      </c>
      <c r="W365" s="29">
        <v>0</v>
      </c>
    </row>
    <row r="366" spans="19:23">
      <c r="T366" s="62">
        <v>0</v>
      </c>
      <c r="U366" s="63">
        <v>0</v>
      </c>
      <c r="V366" s="63">
        <v>0</v>
      </c>
      <c r="W366" s="64">
        <v>1</v>
      </c>
    </row>
  </sheetData>
  <sheetProtection selectLockedCells="1"/>
  <mergeCells count="124">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A177:A180"/>
    <mergeCell ref="E178:F178"/>
    <mergeCell ref="A286:A308"/>
    <mergeCell ref="E152:F152"/>
    <mergeCell ref="A150:A153"/>
    <mergeCell ref="G178:H178"/>
    <mergeCell ref="G251:H251"/>
    <mergeCell ref="G192:L192"/>
    <mergeCell ref="G225:L225"/>
    <mergeCell ref="I218:J218"/>
    <mergeCell ref="E60:F60"/>
    <mergeCell ref="E93:F93"/>
    <mergeCell ref="E126:F126"/>
    <mergeCell ref="A45:A48"/>
    <mergeCell ref="G277:H277"/>
    <mergeCell ref="A249:A252"/>
    <mergeCell ref="A253:A275"/>
    <mergeCell ref="E258:F258"/>
    <mergeCell ref="E53:F53"/>
    <mergeCell ref="E119:F119"/>
    <mergeCell ref="E86:F86"/>
    <mergeCell ref="A111:A114"/>
    <mergeCell ref="E112:F112"/>
    <mergeCell ref="G126:L126"/>
    <mergeCell ref="K119:L119"/>
    <mergeCell ref="I119:J119"/>
    <mergeCell ref="D53:D55"/>
    <mergeCell ref="D86:D88"/>
    <mergeCell ref="A183:A186"/>
    <mergeCell ref="D119:D121"/>
    <mergeCell ref="D152:D154"/>
    <mergeCell ref="A154:A176"/>
    <mergeCell ref="E159:F159"/>
    <mergeCell ref="E185:F185"/>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D20:D22"/>
    <mergeCell ref="A22:A44"/>
    <mergeCell ref="A55:A77"/>
    <mergeCell ref="A88:A110"/>
    <mergeCell ref="A121:A143"/>
    <mergeCell ref="A319:A341"/>
    <mergeCell ref="G291:L291"/>
    <mergeCell ref="G324:L324"/>
    <mergeCell ref="E291:F291"/>
    <mergeCell ref="E324:F324"/>
    <mergeCell ref="D185:D187"/>
    <mergeCell ref="D218:D220"/>
    <mergeCell ref="D251:D253"/>
    <mergeCell ref="D284:D286"/>
    <mergeCell ref="D317:D319"/>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G317:H317"/>
    <mergeCell ref="E218:F218"/>
    <mergeCell ref="A216:A219"/>
    <mergeCell ref="A243:A246"/>
    <mergeCell ref="E251:F251"/>
    <mergeCell ref="G218:H218"/>
    <mergeCell ref="A220:A242"/>
    <mergeCell ref="E225:F225"/>
    <mergeCell ref="A276:A279"/>
    <mergeCell ref="E277:F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7"/>
  <sheetViews>
    <sheetView tabSelected="1" workbookViewId="0">
      <selection activeCell="D26" sqref="D26"/>
    </sheetView>
  </sheetViews>
  <sheetFormatPr baseColWidth="10" defaultColWidth="11" defaultRowHeight="16"/>
  <cols>
    <col min="4" max="4" width="40.6640625" customWidth="1"/>
  </cols>
  <sheetData>
    <row r="1" spans="1:4">
      <c r="A1" s="1" t="s">
        <v>368</v>
      </c>
    </row>
    <row r="5" spans="1:4" s="1" customFormat="1">
      <c r="A5" s="1" t="s">
        <v>164</v>
      </c>
      <c r="B5" s="1" t="s">
        <v>163</v>
      </c>
      <c r="C5" s="1" t="s">
        <v>162</v>
      </c>
      <c r="D5" s="1" t="s">
        <v>165</v>
      </c>
    </row>
    <row r="6" spans="1:4">
      <c r="A6">
        <v>1</v>
      </c>
      <c r="B6" t="s">
        <v>181</v>
      </c>
      <c r="C6" t="s">
        <v>182</v>
      </c>
      <c r="D6" t="s">
        <v>183</v>
      </c>
    </row>
    <row r="7" spans="1:4">
      <c r="A7">
        <f>A6+1</f>
        <v>2</v>
      </c>
      <c r="B7" t="s">
        <v>185</v>
      </c>
      <c r="C7" t="s">
        <v>182</v>
      </c>
      <c r="D7" t="s">
        <v>186</v>
      </c>
    </row>
    <row r="8" spans="1:4">
      <c r="A8">
        <f t="shared" ref="A8:A37" si="0">A7+1</f>
        <v>3</v>
      </c>
      <c r="B8" t="s">
        <v>187</v>
      </c>
      <c r="C8" t="s">
        <v>182</v>
      </c>
      <c r="D8" t="s">
        <v>188</v>
      </c>
    </row>
    <row r="9" spans="1:4">
      <c r="A9">
        <f t="shared" si="0"/>
        <v>4</v>
      </c>
      <c r="B9" t="s">
        <v>191</v>
      </c>
      <c r="C9" t="s">
        <v>182</v>
      </c>
      <c r="D9" t="s">
        <v>192</v>
      </c>
    </row>
    <row r="10" spans="1:4">
      <c r="A10">
        <f t="shared" si="0"/>
        <v>5</v>
      </c>
      <c r="B10" t="s">
        <v>193</v>
      </c>
      <c r="C10" t="s">
        <v>182</v>
      </c>
      <c r="D10" s="43" t="s">
        <v>196</v>
      </c>
    </row>
    <row r="11" spans="1:4">
      <c r="A11">
        <f t="shared" si="0"/>
        <v>6</v>
      </c>
      <c r="B11" t="s">
        <v>197</v>
      </c>
      <c r="C11" t="s">
        <v>182</v>
      </c>
      <c r="D11" t="s">
        <v>198</v>
      </c>
    </row>
    <row r="12" spans="1:4">
      <c r="A12">
        <f t="shared" si="0"/>
        <v>7</v>
      </c>
      <c r="B12" t="s">
        <v>212</v>
      </c>
      <c r="C12" t="s">
        <v>182</v>
      </c>
      <c r="D12" t="s">
        <v>286</v>
      </c>
    </row>
    <row r="13" spans="1:4">
      <c r="A13">
        <f t="shared" si="0"/>
        <v>8</v>
      </c>
      <c r="B13" t="s">
        <v>287</v>
      </c>
      <c r="C13" t="s">
        <v>182</v>
      </c>
      <c r="D13" t="s">
        <v>288</v>
      </c>
    </row>
    <row r="14" spans="1:4">
      <c r="A14">
        <f t="shared" si="0"/>
        <v>9</v>
      </c>
      <c r="B14" t="s">
        <v>285</v>
      </c>
      <c r="C14" t="s">
        <v>182</v>
      </c>
      <c r="D14" t="s">
        <v>322</v>
      </c>
    </row>
    <row r="15" spans="1:4">
      <c r="A15">
        <f t="shared" si="0"/>
        <v>10</v>
      </c>
      <c r="B15" t="s">
        <v>361</v>
      </c>
      <c r="C15" t="s">
        <v>182</v>
      </c>
      <c r="D15" t="s">
        <v>362</v>
      </c>
    </row>
    <row r="16" spans="1:4">
      <c r="A16">
        <f t="shared" si="0"/>
        <v>11</v>
      </c>
      <c r="B16" t="s">
        <v>369</v>
      </c>
      <c r="C16" t="s">
        <v>182</v>
      </c>
      <c r="D16" t="s">
        <v>370</v>
      </c>
    </row>
    <row r="17" spans="1:4">
      <c r="A17">
        <f t="shared" si="0"/>
        <v>12</v>
      </c>
      <c r="B17" t="s">
        <v>369</v>
      </c>
      <c r="C17" t="s">
        <v>182</v>
      </c>
      <c r="D17" t="s">
        <v>371</v>
      </c>
    </row>
    <row r="18" spans="1:4">
      <c r="A18">
        <f t="shared" si="0"/>
        <v>13</v>
      </c>
      <c r="B18" t="s">
        <v>373</v>
      </c>
      <c r="C18" t="s">
        <v>182</v>
      </c>
      <c r="D18" t="s">
        <v>374</v>
      </c>
    </row>
    <row r="19" spans="1:4">
      <c r="A19">
        <f t="shared" si="0"/>
        <v>14</v>
      </c>
      <c r="B19" t="s">
        <v>375</v>
      </c>
      <c r="C19" t="s">
        <v>182</v>
      </c>
      <c r="D19" t="s">
        <v>376</v>
      </c>
    </row>
    <row r="20" spans="1:4">
      <c r="A20">
        <f t="shared" si="0"/>
        <v>15</v>
      </c>
      <c r="B20" t="s">
        <v>375</v>
      </c>
      <c r="C20" t="s">
        <v>182</v>
      </c>
      <c r="D20" t="s">
        <v>377</v>
      </c>
    </row>
    <row r="21" spans="1:4">
      <c r="A21">
        <f t="shared" si="0"/>
        <v>16</v>
      </c>
      <c r="B21" t="s">
        <v>375</v>
      </c>
      <c r="C21" t="s">
        <v>182</v>
      </c>
      <c r="D21" t="s">
        <v>380</v>
      </c>
    </row>
    <row r="22" spans="1:4">
      <c r="A22">
        <f t="shared" si="0"/>
        <v>17</v>
      </c>
      <c r="B22" t="s">
        <v>383</v>
      </c>
      <c r="C22" t="s">
        <v>182</v>
      </c>
      <c r="D22" t="s">
        <v>384</v>
      </c>
    </row>
    <row r="23" spans="1:4">
      <c r="A23">
        <f t="shared" si="0"/>
        <v>18</v>
      </c>
      <c r="B23" t="s">
        <v>388</v>
      </c>
      <c r="C23" t="s">
        <v>182</v>
      </c>
      <c r="D23" t="s">
        <v>389</v>
      </c>
    </row>
    <row r="24" spans="1:4">
      <c r="A24">
        <f t="shared" si="0"/>
        <v>19</v>
      </c>
      <c r="B24" t="s">
        <v>398</v>
      </c>
      <c r="C24" t="s">
        <v>182</v>
      </c>
      <c r="D24" t="s">
        <v>399</v>
      </c>
    </row>
    <row r="25" spans="1:4">
      <c r="A25">
        <f t="shared" si="0"/>
        <v>20</v>
      </c>
      <c r="B25" t="s">
        <v>400</v>
      </c>
      <c r="C25" t="s">
        <v>182</v>
      </c>
      <c r="D25" t="s">
        <v>401</v>
      </c>
    </row>
    <row r="26" spans="1:4">
      <c r="A26">
        <f t="shared" si="0"/>
        <v>21</v>
      </c>
      <c r="B26" t="s">
        <v>446</v>
      </c>
      <c r="C26" t="s">
        <v>182</v>
      </c>
      <c r="D26" t="s">
        <v>447</v>
      </c>
    </row>
    <row r="27" spans="1:4">
      <c r="A27">
        <f t="shared" si="0"/>
        <v>22</v>
      </c>
    </row>
    <row r="28" spans="1:4">
      <c r="A28">
        <f t="shared" si="0"/>
        <v>23</v>
      </c>
    </row>
    <row r="29" spans="1:4">
      <c r="A29">
        <f t="shared" si="0"/>
        <v>24</v>
      </c>
    </row>
    <row r="30" spans="1:4">
      <c r="A30">
        <f t="shared" si="0"/>
        <v>25</v>
      </c>
    </row>
    <row r="31" spans="1:4">
      <c r="A31">
        <f t="shared" si="0"/>
        <v>26</v>
      </c>
    </row>
    <row r="32" spans="1:4">
      <c r="A32">
        <f t="shared" si="0"/>
        <v>27</v>
      </c>
    </row>
    <row r="33" spans="1:1">
      <c r="A33">
        <f t="shared" si="0"/>
        <v>28</v>
      </c>
    </row>
    <row r="34" spans="1:1">
      <c r="A34">
        <f t="shared" si="0"/>
        <v>29</v>
      </c>
    </row>
    <row r="35" spans="1:1">
      <c r="A35">
        <f t="shared" si="0"/>
        <v>30</v>
      </c>
    </row>
    <row r="36" spans="1:1">
      <c r="A36">
        <f t="shared" si="0"/>
        <v>31</v>
      </c>
    </row>
    <row r="37" spans="1:1">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6"/>
  <sheetViews>
    <sheetView topLeftCell="A18" zoomScale="202" zoomScaleNormal="202" zoomScalePageLayoutView="200" workbookViewId="0">
      <selection activeCell="F31" sqref="F31"/>
    </sheetView>
  </sheetViews>
  <sheetFormatPr baseColWidth="10" defaultColWidth="11" defaultRowHeight="16"/>
  <cols>
    <col min="1" max="1" width="60.6640625" style="79" customWidth="1"/>
    <col min="2" max="2" width="13.6640625" style="79" customWidth="1"/>
    <col min="3" max="3" width="34.1640625" style="146" customWidth="1"/>
    <col min="4" max="4" width="12" style="146" customWidth="1"/>
    <col min="5" max="6" width="7.1640625" style="146" customWidth="1"/>
    <col min="7" max="12" width="9.6640625" style="79" customWidth="1"/>
    <col min="13" max="13" width="6.33203125" style="79" customWidth="1"/>
    <col min="14" max="14" width="12.1640625" style="79" bestFit="1" customWidth="1"/>
    <col min="15" max="16384" width="11" style="79"/>
  </cols>
  <sheetData>
    <row r="1" spans="1:18">
      <c r="A1" s="197" t="str">
        <f>'CSs and Loads'!A12</f>
        <v>CS 1</v>
      </c>
      <c r="B1" s="364" t="str">
        <f>'CSs and Loads'!A22</f>
        <v>Z motion carriage where tool tip is POI</v>
      </c>
      <c r="C1" s="365"/>
      <c r="D1" s="248"/>
      <c r="E1" s="248"/>
      <c r="F1" s="248"/>
    </row>
    <row r="2" spans="1:18" ht="17" thickBot="1">
      <c r="A2" s="80" t="s">
        <v>126</v>
      </c>
      <c r="E2" s="254"/>
      <c r="F2" s="254"/>
      <c r="G2" s="168"/>
      <c r="H2" s="168"/>
      <c r="J2" s="168"/>
      <c r="K2" s="168"/>
      <c r="L2" s="235"/>
      <c r="M2" s="235"/>
      <c r="N2" s="199"/>
    </row>
    <row r="3" spans="1:18">
      <c r="A3" s="200" t="s">
        <v>105</v>
      </c>
      <c r="D3" s="253"/>
      <c r="E3" s="367" t="s">
        <v>358</v>
      </c>
      <c r="F3" s="368"/>
      <c r="G3" s="368"/>
      <c r="H3" s="368"/>
      <c r="I3" s="368"/>
      <c r="J3" s="368"/>
      <c r="K3" s="368"/>
      <c r="L3" s="368"/>
      <c r="M3" s="369"/>
      <c r="N3" s="175"/>
      <c r="O3" s="201"/>
      <c r="P3" s="201"/>
      <c r="Q3" s="201"/>
      <c r="R3" s="201"/>
    </row>
    <row r="4" spans="1:18">
      <c r="A4" s="200" t="s">
        <v>305</v>
      </c>
      <c r="B4" s="170" t="s">
        <v>306</v>
      </c>
      <c r="C4" s="267" t="s">
        <v>355</v>
      </c>
      <c r="D4" s="268"/>
      <c r="E4" s="375" t="s">
        <v>302</v>
      </c>
      <c r="F4" s="376"/>
      <c r="G4" s="376"/>
      <c r="H4" s="376"/>
      <c r="I4" s="376"/>
      <c r="J4" s="376"/>
      <c r="K4" s="376"/>
      <c r="L4" s="376"/>
      <c r="M4" s="377"/>
      <c r="N4" s="175"/>
      <c r="R4" s="201"/>
    </row>
    <row r="5" spans="1:18">
      <c r="A5" s="249" t="s">
        <v>325</v>
      </c>
      <c r="B5" s="170" t="s">
        <v>296</v>
      </c>
      <c r="C5" s="269" t="s">
        <v>353</v>
      </c>
      <c r="D5" s="268">
        <v>25</v>
      </c>
      <c r="E5" s="256" t="s">
        <v>268</v>
      </c>
      <c r="F5" s="373" t="s">
        <v>271</v>
      </c>
      <c r="G5" s="213">
        <f>B12^3/(3*B7*B17)</f>
        <v>2.0857058237078009E-5</v>
      </c>
      <c r="H5" s="287">
        <v>0</v>
      </c>
      <c r="I5" s="287">
        <v>0</v>
      </c>
      <c r="J5" s="199">
        <v>0</v>
      </c>
      <c r="K5" s="199">
        <v>0</v>
      </c>
      <c r="L5" s="199">
        <v>0</v>
      </c>
      <c r="M5" s="257" t="s">
        <v>262</v>
      </c>
      <c r="N5" s="175"/>
      <c r="R5" s="201"/>
    </row>
    <row r="6" spans="1:18">
      <c r="A6" s="249" t="s">
        <v>328</v>
      </c>
      <c r="B6" s="170" t="s">
        <v>297</v>
      </c>
      <c r="C6" s="269" t="s">
        <v>32</v>
      </c>
      <c r="D6" s="268">
        <f>2580*9.8</f>
        <v>25284.000000000004</v>
      </c>
      <c r="E6" s="256" t="s">
        <v>269</v>
      </c>
      <c r="F6" s="373"/>
      <c r="G6" s="290">
        <v>0</v>
      </c>
      <c r="H6" s="228">
        <f>B12^3/(3*B7*B18)</f>
        <v>6.637884798181751E-6</v>
      </c>
      <c r="I6" s="287">
        <v>0</v>
      </c>
      <c r="J6" s="287">
        <v>0</v>
      </c>
      <c r="K6" s="287">
        <v>0</v>
      </c>
      <c r="L6" s="228">
        <f>B12^2/(2*B7*B18)</f>
        <v>4.9784135986363128E-8</v>
      </c>
      <c r="M6" s="257" t="s">
        <v>263</v>
      </c>
      <c r="N6" s="175"/>
      <c r="R6" s="201"/>
    </row>
    <row r="7" spans="1:18">
      <c r="A7" s="250" t="s">
        <v>277</v>
      </c>
      <c r="B7" s="279">
        <v>200000</v>
      </c>
      <c r="C7" s="269" t="s">
        <v>230</v>
      </c>
      <c r="D7" s="268">
        <f>647*1000</f>
        <v>647000</v>
      </c>
      <c r="E7" s="256" t="s">
        <v>270</v>
      </c>
      <c r="F7" s="373"/>
      <c r="G7" s="290">
        <v>0</v>
      </c>
      <c r="H7" s="287">
        <v>0</v>
      </c>
      <c r="I7" s="228">
        <f>B12^3/(3*B7*B17)</f>
        <v>2.0857058237078009E-5</v>
      </c>
      <c r="J7" s="287">
        <v>0</v>
      </c>
      <c r="K7" s="189">
        <f>-1*B12^2/(2*B7*B17)</f>
        <v>-1.5642793677808508E-7</v>
      </c>
      <c r="L7" s="287">
        <v>0</v>
      </c>
      <c r="M7" s="257" t="s">
        <v>264</v>
      </c>
      <c r="N7" s="175"/>
      <c r="R7" s="201"/>
    </row>
    <row r="8" spans="1:18">
      <c r="A8" s="250" t="s">
        <v>273</v>
      </c>
      <c r="B8" s="200">
        <v>0.28999999999999998</v>
      </c>
      <c r="C8" s="269" t="s">
        <v>33</v>
      </c>
      <c r="D8" s="268">
        <v>4</v>
      </c>
      <c r="E8" s="256" t="s">
        <v>259</v>
      </c>
      <c r="F8" s="373"/>
      <c r="G8" s="290">
        <v>0</v>
      </c>
      <c r="H8" s="287">
        <v>0</v>
      </c>
      <c r="I8" s="287">
        <v>0</v>
      </c>
      <c r="J8" s="228">
        <f>B12/(B7*B19)</f>
        <v>6.7225923999865318E-10</v>
      </c>
      <c r="K8" s="287">
        <v>0</v>
      </c>
      <c r="L8" s="287">
        <v>0</v>
      </c>
      <c r="M8" s="257" t="s">
        <v>265</v>
      </c>
      <c r="N8" s="175"/>
      <c r="R8" s="201"/>
    </row>
    <row r="9" spans="1:18">
      <c r="A9" s="250" t="s">
        <v>278</v>
      </c>
      <c r="B9" s="92">
        <f>B7/(2*(1+B8))</f>
        <v>77519.379844961237</v>
      </c>
      <c r="C9" s="269" t="s">
        <v>34</v>
      </c>
      <c r="D9" s="327">
        <v>0.01</v>
      </c>
      <c r="E9" s="256" t="s">
        <v>261</v>
      </c>
      <c r="F9" s="373"/>
      <c r="G9" s="144">
        <f>B12^2/(2*B7*B17)</f>
        <v>1.5642793677808508E-7</v>
      </c>
      <c r="H9" s="287">
        <v>0</v>
      </c>
      <c r="I9" s="189">
        <f>K7</f>
        <v>-1.5642793677808508E-7</v>
      </c>
      <c r="J9" s="287">
        <v>0</v>
      </c>
      <c r="K9" s="228">
        <f>B12/(B7*B17)</f>
        <v>1.5642793677808508E-9</v>
      </c>
      <c r="L9" s="287">
        <v>0</v>
      </c>
      <c r="M9" s="257" t="s">
        <v>266</v>
      </c>
      <c r="N9" s="175"/>
      <c r="R9" s="201"/>
    </row>
    <row r="10" spans="1:18" ht="17" thickBot="1">
      <c r="A10" s="199" t="s">
        <v>382</v>
      </c>
      <c r="B10" s="200"/>
      <c r="C10" s="269" t="s">
        <v>274</v>
      </c>
      <c r="D10" s="328">
        <f>D6/(D8*D9)</f>
        <v>632100.00000000012</v>
      </c>
      <c r="E10" s="258" t="s">
        <v>260</v>
      </c>
      <c r="F10" s="374"/>
      <c r="G10" s="291">
        <v>0</v>
      </c>
      <c r="H10" s="288">
        <f>L6</f>
        <v>4.9784135986363128E-8</v>
      </c>
      <c r="I10" s="289">
        <v>0</v>
      </c>
      <c r="J10" s="289">
        <v>0</v>
      </c>
      <c r="K10" s="289">
        <v>0</v>
      </c>
      <c r="L10" s="288">
        <f>J8</f>
        <v>6.7225923999865318E-10</v>
      </c>
      <c r="M10" s="259" t="s">
        <v>267</v>
      </c>
      <c r="N10" s="175"/>
      <c r="P10" s="216"/>
      <c r="R10" s="201"/>
    </row>
    <row r="11" spans="1:18">
      <c r="A11" s="250" t="s">
        <v>335</v>
      </c>
      <c r="B11" s="281">
        <f>ABS('CSs and Loads'!C15)</f>
        <v>200</v>
      </c>
      <c r="C11" s="269" t="s">
        <v>35</v>
      </c>
      <c r="D11" s="267">
        <v>25</v>
      </c>
      <c r="E11" s="255"/>
      <c r="F11" s="255"/>
      <c r="G11" s="155"/>
      <c r="H11" s="155"/>
      <c r="I11" s="247"/>
      <c r="J11" s="247"/>
      <c r="K11" s="247"/>
      <c r="L11" s="247"/>
      <c r="M11" s="247"/>
      <c r="N11" s="199"/>
      <c r="O11" s="251"/>
      <c r="P11" s="199"/>
      <c r="Q11" s="199"/>
      <c r="R11" s="201"/>
    </row>
    <row r="12" spans="1:18">
      <c r="A12" s="250" t="s">
        <v>221</v>
      </c>
      <c r="B12" s="188">
        <f>B11</f>
        <v>200</v>
      </c>
      <c r="C12" s="269" t="s">
        <v>365</v>
      </c>
      <c r="D12" s="270">
        <f>D7*D11^2/4</f>
        <v>101093750</v>
      </c>
      <c r="I12" s="199"/>
      <c r="J12" s="199"/>
      <c r="K12" s="199"/>
      <c r="L12" s="199"/>
      <c r="M12" s="199"/>
      <c r="N12" s="199"/>
      <c r="O12" s="251"/>
      <c r="P12" s="199"/>
      <c r="Q12" s="199"/>
      <c r="R12" s="201"/>
    </row>
    <row r="13" spans="1:18">
      <c r="A13" s="250" t="s">
        <v>332</v>
      </c>
      <c r="B13" s="200">
        <v>100</v>
      </c>
      <c r="C13" s="269" t="s">
        <v>275</v>
      </c>
      <c r="D13" s="270">
        <f>D7*D11^2/12</f>
        <v>33697916.666666664</v>
      </c>
      <c r="I13" s="92"/>
      <c r="J13" s="199"/>
      <c r="K13" s="199"/>
      <c r="L13" s="199"/>
      <c r="M13" s="199"/>
      <c r="N13" s="199"/>
      <c r="O13" s="251"/>
      <c r="P13" s="199"/>
      <c r="Q13" s="199"/>
      <c r="R13" s="201"/>
    </row>
    <row r="14" spans="1:18">
      <c r="A14" s="250" t="s">
        <v>331</v>
      </c>
      <c r="B14" s="284">
        <v>50</v>
      </c>
      <c r="C14" s="269" t="s">
        <v>276</v>
      </c>
      <c r="D14" s="271">
        <f>D13</f>
        <v>33697916.666666664</v>
      </c>
      <c r="I14" s="199"/>
      <c r="J14" s="199"/>
      <c r="K14" s="199"/>
      <c r="L14" s="199"/>
      <c r="M14" s="199"/>
      <c r="N14" s="252"/>
      <c r="O14" s="280"/>
      <c r="P14" s="199"/>
      <c r="Q14" s="199"/>
      <c r="R14" s="201"/>
    </row>
    <row r="15" spans="1:18">
      <c r="A15" s="250" t="s">
        <v>257</v>
      </c>
      <c r="B15" s="200">
        <v>6</v>
      </c>
      <c r="C15" s="272" t="s">
        <v>354</v>
      </c>
      <c r="D15" s="267"/>
      <c r="I15" s="92"/>
      <c r="J15" s="199"/>
      <c r="K15" s="199"/>
      <c r="L15" s="199"/>
      <c r="M15" s="199"/>
      <c r="N15" s="199"/>
      <c r="O15" s="251"/>
      <c r="P15" s="199"/>
      <c r="Q15" s="199"/>
      <c r="R15" s="201"/>
    </row>
    <row r="16" spans="1:18">
      <c r="A16" s="250" t="s">
        <v>258</v>
      </c>
      <c r="B16" s="285">
        <f>B14*B13-(B13-2*B15)*(B14-2*B15)</f>
        <v>1656</v>
      </c>
      <c r="C16" s="273" t="s">
        <v>253</v>
      </c>
      <c r="D16" s="267"/>
      <c r="I16" s="92"/>
      <c r="J16" s="199"/>
      <c r="K16" s="199"/>
      <c r="L16" s="199"/>
      <c r="M16" s="199"/>
      <c r="N16" s="199"/>
      <c r="O16" s="251"/>
      <c r="P16" s="199"/>
      <c r="Q16" s="199"/>
      <c r="R16" s="201"/>
    </row>
    <row r="17" spans="1:19">
      <c r="A17" s="250" t="s">
        <v>386</v>
      </c>
      <c r="B17" s="285">
        <f>(B13*B14^3-(B13-2*B15)*(B14-2*B15)^3     )/12</f>
        <v>639272</v>
      </c>
      <c r="C17" s="269" t="s">
        <v>255</v>
      </c>
      <c r="D17" s="267">
        <v>11</v>
      </c>
      <c r="I17" s="92"/>
      <c r="J17" s="199"/>
      <c r="K17" s="199"/>
      <c r="L17" s="199"/>
      <c r="M17" s="199"/>
      <c r="N17" s="199"/>
      <c r="O17" s="251"/>
      <c r="P17" s="199"/>
      <c r="Q17" s="199"/>
      <c r="R17" s="201"/>
    </row>
    <row r="18" spans="1:19">
      <c r="A18" s="250" t="s">
        <v>379</v>
      </c>
      <c r="B18" s="285">
        <f>(B13^3*B14-(B13-2*B15)^3*(B14-2*B15)     )/12</f>
        <v>2008672</v>
      </c>
      <c r="C18" s="269" t="s">
        <v>221</v>
      </c>
      <c r="D18" s="267">
        <v>1000</v>
      </c>
      <c r="I18" s="93"/>
      <c r="J18" s="199"/>
      <c r="K18" s="199"/>
      <c r="L18" s="199"/>
      <c r="M18" s="199"/>
      <c r="N18" s="199"/>
      <c r="O18" s="251"/>
      <c r="P18" s="199"/>
      <c r="Q18" s="199"/>
      <c r="R18" s="201"/>
    </row>
    <row r="19" spans="1:19">
      <c r="A19" s="250" t="s">
        <v>223</v>
      </c>
      <c r="B19" s="285">
        <f>2*B15^2*(B13-B15)^2*(B14-B15)^2/( B13*B15+B14*B15-2*B15^2   )</f>
        <v>1487521.3913043479</v>
      </c>
      <c r="C19" s="269" t="s">
        <v>54</v>
      </c>
      <c r="D19" s="274">
        <v>200000</v>
      </c>
      <c r="I19" s="200"/>
      <c r="J19" s="199"/>
      <c r="K19" s="199"/>
      <c r="L19" s="199"/>
      <c r="M19" s="199"/>
      <c r="N19" s="199"/>
      <c r="O19" s="251"/>
      <c r="P19" s="199"/>
      <c r="Q19" s="199"/>
      <c r="R19" s="201"/>
    </row>
    <row r="20" spans="1:19">
      <c r="A20" s="250" t="s">
        <v>323</v>
      </c>
      <c r="B20" s="92">
        <f>B18/B16</f>
        <v>1212.9661835748793</v>
      </c>
      <c r="C20" s="269" t="s">
        <v>254</v>
      </c>
      <c r="D20" s="275">
        <f>PI()*D17^2/4*D19/D18</f>
        <v>19006.635554218246</v>
      </c>
      <c r="I20" s="92"/>
      <c r="J20" s="199"/>
      <c r="K20" s="199"/>
      <c r="L20" s="199"/>
      <c r="M20" s="199"/>
      <c r="N20" s="199"/>
      <c r="O20" s="251"/>
      <c r="P20" s="199"/>
      <c r="Q20" s="199"/>
      <c r="R20" s="201"/>
    </row>
    <row r="21" spans="1:19" ht="17" thickBot="1">
      <c r="A21" s="261" t="s">
        <v>336</v>
      </c>
      <c r="B21" s="237">
        <v>5752</v>
      </c>
      <c r="C21" s="276" t="s">
        <v>304</v>
      </c>
      <c r="D21" s="277">
        <v>3</v>
      </c>
      <c r="E21" s="254"/>
      <c r="F21" s="254"/>
      <c r="G21" s="168"/>
      <c r="H21" s="168"/>
      <c r="I21" s="237"/>
      <c r="J21" s="235"/>
      <c r="K21" s="235"/>
      <c r="L21" s="235"/>
      <c r="M21" s="235"/>
      <c r="N21" s="199"/>
      <c r="O21" s="251"/>
      <c r="P21" s="199"/>
      <c r="Q21" s="199"/>
      <c r="R21" s="201"/>
    </row>
    <row r="22" spans="1:19" ht="17" thickBot="1">
      <c r="A22" s="370" t="s">
        <v>366</v>
      </c>
      <c r="B22" s="371"/>
      <c r="C22" s="371"/>
      <c r="D22" s="371"/>
      <c r="E22" s="371"/>
      <c r="F22" s="371"/>
      <c r="G22" s="371"/>
      <c r="H22" s="371"/>
      <c r="I22" s="371"/>
      <c r="J22" s="371"/>
      <c r="K22" s="371"/>
      <c r="L22" s="371"/>
      <c r="M22" s="372"/>
      <c r="N22" s="260"/>
      <c r="O22" s="199"/>
      <c r="P22" s="199"/>
      <c r="Q22" s="199"/>
      <c r="R22" s="201"/>
    </row>
    <row r="23" spans="1:19" ht="34">
      <c r="A23" s="263" t="s">
        <v>360</v>
      </c>
      <c r="B23" s="224"/>
      <c r="C23" s="232" t="s">
        <v>251</v>
      </c>
      <c r="D23" s="255"/>
      <c r="E23" s="255"/>
      <c r="F23" s="255"/>
      <c r="G23" s="155"/>
      <c r="H23" s="155"/>
      <c r="I23" s="155"/>
      <c r="J23" s="155"/>
      <c r="K23" s="155"/>
      <c r="L23" s="155"/>
      <c r="M23" s="155"/>
      <c r="O23" s="201"/>
      <c r="P23" s="201"/>
      <c r="Q23" s="201"/>
      <c r="R23" s="201"/>
    </row>
    <row r="24" spans="1:19">
      <c r="A24" s="96" t="s">
        <v>3</v>
      </c>
      <c r="B24" s="101"/>
      <c r="O24" s="201"/>
      <c r="P24" s="201"/>
      <c r="Q24" s="201"/>
      <c r="R24" s="201"/>
    </row>
    <row r="25" spans="1:19">
      <c r="A25" s="209" t="s">
        <v>111</v>
      </c>
      <c r="B25" s="144">
        <f>SUM(H35:S35)+C25</f>
        <v>2528400.0000000005</v>
      </c>
      <c r="C25" s="210">
        <v>0</v>
      </c>
      <c r="O25" s="201"/>
      <c r="P25" s="201"/>
      <c r="Q25" s="201"/>
      <c r="R25" s="201"/>
    </row>
    <row r="26" spans="1:19">
      <c r="A26" s="209" t="s">
        <v>112</v>
      </c>
      <c r="B26" s="144">
        <f>SUM(H36:S36)+C26</f>
        <v>6335.5451847394152</v>
      </c>
      <c r="C26" s="228">
        <f>D20/D21</f>
        <v>6335.5451847394152</v>
      </c>
      <c r="G26" s="234" t="s">
        <v>175</v>
      </c>
      <c r="O26" s="201"/>
      <c r="P26" s="201"/>
      <c r="Q26" s="201"/>
      <c r="R26" s="201"/>
    </row>
    <row r="27" spans="1:19">
      <c r="A27" s="209" t="s">
        <v>113</v>
      </c>
      <c r="B27" s="144">
        <f>SUM(H37:S37)+C27</f>
        <v>2528400.0000000005</v>
      </c>
      <c r="C27" s="210">
        <v>0</v>
      </c>
      <c r="G27" s="80" t="s">
        <v>118</v>
      </c>
      <c r="O27" s="201"/>
      <c r="P27" s="201"/>
      <c r="Q27" s="201"/>
      <c r="R27" s="201"/>
    </row>
    <row r="28" spans="1:19">
      <c r="A28" s="96" t="s">
        <v>109</v>
      </c>
      <c r="B28" s="101"/>
      <c r="C28" s="192"/>
      <c r="D28" s="189"/>
      <c r="E28" s="189"/>
      <c r="F28" s="189"/>
      <c r="G28" s="204" t="s">
        <v>127</v>
      </c>
      <c r="H28" s="205">
        <v>4</v>
      </c>
      <c r="O28" s="201"/>
      <c r="P28" s="201"/>
      <c r="Q28" s="201"/>
      <c r="R28" s="201"/>
    </row>
    <row r="29" spans="1:19">
      <c r="A29" s="209" t="s">
        <v>8</v>
      </c>
      <c r="B29" s="144">
        <f>SUM(H39:S39)+SUM(H43:S43)+C29</f>
        <v>101270791666.66669</v>
      </c>
      <c r="C29" s="210">
        <v>0</v>
      </c>
      <c r="D29" s="189"/>
      <c r="E29" s="189"/>
      <c r="F29" s="189"/>
      <c r="H29" s="387" t="s">
        <v>123</v>
      </c>
      <c r="I29" s="387"/>
      <c r="J29" s="387"/>
      <c r="K29" s="387"/>
      <c r="L29" s="387"/>
      <c r="M29" s="387"/>
      <c r="N29" s="387"/>
      <c r="O29" s="387"/>
      <c r="P29" s="387"/>
      <c r="Q29" s="387"/>
      <c r="R29" s="387"/>
      <c r="S29" s="387"/>
    </row>
    <row r="30" spans="1:19">
      <c r="A30" s="209" t="s">
        <v>114</v>
      </c>
      <c r="B30" s="144">
        <f>SUM(H40:S40)+SUM(H44:S44)+C30</f>
        <v>101540375000.00002</v>
      </c>
      <c r="C30" s="210">
        <v>0</v>
      </c>
      <c r="D30" s="189"/>
      <c r="E30" s="189"/>
      <c r="F30" s="189"/>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101270791666.66669</v>
      </c>
      <c r="C31" s="210">
        <v>0</v>
      </c>
      <c r="D31" s="189"/>
      <c r="E31" s="189"/>
      <c r="F31" s="189"/>
      <c r="G31" s="96" t="s">
        <v>42</v>
      </c>
      <c r="H31" s="205">
        <v>0</v>
      </c>
      <c r="I31" s="205">
        <v>0</v>
      </c>
      <c r="J31" s="205">
        <v>0</v>
      </c>
      <c r="K31" s="205">
        <v>0</v>
      </c>
      <c r="L31" s="205">
        <v>0</v>
      </c>
      <c r="M31" s="205">
        <v>0</v>
      </c>
      <c r="N31" s="205">
        <v>0</v>
      </c>
      <c r="O31" s="205">
        <v>0</v>
      </c>
      <c r="P31" s="205">
        <v>0</v>
      </c>
      <c r="Q31" s="205">
        <v>0</v>
      </c>
      <c r="R31" s="205">
        <v>0</v>
      </c>
      <c r="S31" s="205">
        <v>0</v>
      </c>
    </row>
    <row r="32" spans="1:19" ht="14" customHeight="1">
      <c r="A32" s="378" t="s">
        <v>180</v>
      </c>
      <c r="B32" s="379"/>
      <c r="C32" s="380"/>
      <c r="D32" s="189"/>
      <c r="E32" s="189"/>
      <c r="F32" s="85">
        <v>200</v>
      </c>
      <c r="G32" s="96" t="s">
        <v>44</v>
      </c>
      <c r="H32" s="205">
        <f>F32</f>
        <v>200</v>
      </c>
      <c r="I32" s="205">
        <f>F32</f>
        <v>200</v>
      </c>
      <c r="J32" s="205">
        <f>-F32</f>
        <v>-200</v>
      </c>
      <c r="K32" s="205">
        <f>-F32</f>
        <v>-200</v>
      </c>
      <c r="L32" s="205">
        <v>0</v>
      </c>
      <c r="M32" s="205">
        <v>0</v>
      </c>
      <c r="N32" s="205">
        <v>0</v>
      </c>
      <c r="O32" s="205">
        <v>0</v>
      </c>
      <c r="P32" s="205">
        <v>0</v>
      </c>
      <c r="Q32" s="205">
        <v>0</v>
      </c>
      <c r="R32" s="205">
        <v>0</v>
      </c>
      <c r="S32" s="205">
        <v>0</v>
      </c>
    </row>
    <row r="33" spans="1:19" ht="15" customHeight="1">
      <c r="A33" s="381"/>
      <c r="B33" s="382"/>
      <c r="C33" s="383"/>
      <c r="D33" s="189"/>
      <c r="E33" s="189"/>
      <c r="F33" s="85">
        <v>200</v>
      </c>
      <c r="G33" s="96" t="s">
        <v>44</v>
      </c>
      <c r="H33" s="205">
        <f>F33</f>
        <v>200</v>
      </c>
      <c r="I33" s="205">
        <f>F33</f>
        <v>200</v>
      </c>
      <c r="J33" s="205">
        <f>-F33</f>
        <v>-200</v>
      </c>
      <c r="K33" s="205">
        <f>-F33</f>
        <v>-200</v>
      </c>
      <c r="L33" s="205">
        <v>0</v>
      </c>
      <c r="M33" s="205">
        <v>0</v>
      </c>
      <c r="N33" s="205">
        <v>0</v>
      </c>
      <c r="O33" s="205">
        <v>0</v>
      </c>
      <c r="P33" s="205">
        <v>0</v>
      </c>
      <c r="Q33" s="205">
        <v>0</v>
      </c>
      <c r="R33" s="205">
        <v>0</v>
      </c>
      <c r="S33" s="205">
        <v>0</v>
      </c>
    </row>
    <row r="34" spans="1:19">
      <c r="A34" s="384"/>
      <c r="B34" s="385"/>
      <c r="C34" s="386"/>
      <c r="G34" s="80" t="s">
        <v>124</v>
      </c>
      <c r="H34" s="264"/>
      <c r="I34" s="265"/>
      <c r="J34" s="265"/>
      <c r="K34" s="266"/>
    </row>
    <row r="35" spans="1:19">
      <c r="A35" s="212" t="s">
        <v>176</v>
      </c>
      <c r="B35" s="212"/>
      <c r="C35" s="212"/>
      <c r="D35" s="189"/>
      <c r="E35" s="189"/>
      <c r="F35" s="189"/>
      <c r="G35" s="96" t="s">
        <v>111</v>
      </c>
      <c r="H35" s="283">
        <f>D10</f>
        <v>632100.00000000012</v>
      </c>
      <c r="I35" s="283">
        <f>H35</f>
        <v>632100.00000000012</v>
      </c>
      <c r="J35" s="283">
        <f t="shared" ref="J35:K35" si="1">I35</f>
        <v>632100.00000000012</v>
      </c>
      <c r="K35" s="283">
        <f t="shared" si="1"/>
        <v>632100.00000000012</v>
      </c>
      <c r="L35" s="205">
        <v>0</v>
      </c>
      <c r="M35" s="205">
        <v>0</v>
      </c>
      <c r="N35" s="205">
        <v>0</v>
      </c>
      <c r="O35" s="205">
        <v>0</v>
      </c>
      <c r="P35" s="205">
        <v>0</v>
      </c>
      <c r="Q35" s="205">
        <v>0</v>
      </c>
      <c r="R35" s="205">
        <v>0</v>
      </c>
      <c r="S35" s="205">
        <v>0</v>
      </c>
    </row>
    <row r="36" spans="1:19">
      <c r="A36" s="79" t="s">
        <v>103</v>
      </c>
      <c r="D36" s="189"/>
      <c r="E36" s="189"/>
      <c r="F36" s="189" t="s">
        <v>381</v>
      </c>
      <c r="G36" s="96" t="s">
        <v>112</v>
      </c>
      <c r="H36" s="282">
        <v>0</v>
      </c>
      <c r="I36" s="282">
        <v>0</v>
      </c>
      <c r="J36" s="282">
        <v>0</v>
      </c>
      <c r="K36" s="282">
        <v>0</v>
      </c>
      <c r="L36" s="205">
        <v>0</v>
      </c>
      <c r="M36" s="205">
        <v>0</v>
      </c>
      <c r="N36" s="205">
        <v>0</v>
      </c>
      <c r="O36" s="205">
        <v>0</v>
      </c>
      <c r="P36" s="205">
        <v>0</v>
      </c>
      <c r="Q36" s="205">
        <v>0</v>
      </c>
      <c r="R36" s="205">
        <v>0</v>
      </c>
      <c r="S36" s="205">
        <v>0</v>
      </c>
    </row>
    <row r="37" spans="1:19">
      <c r="A37" s="96" t="s">
        <v>177</v>
      </c>
      <c r="B37" s="205">
        <v>0</v>
      </c>
      <c r="C37" s="201"/>
      <c r="D37" s="189"/>
      <c r="E37" s="189"/>
      <c r="F37" s="189"/>
      <c r="G37" s="96" t="s">
        <v>113</v>
      </c>
      <c r="H37" s="283">
        <f>H35</f>
        <v>632100.00000000012</v>
      </c>
      <c r="I37" s="283">
        <f t="shared" ref="I37:K37" si="2">I35</f>
        <v>632100.00000000012</v>
      </c>
      <c r="J37" s="283">
        <f t="shared" si="2"/>
        <v>632100.00000000012</v>
      </c>
      <c r="K37" s="283">
        <f t="shared" si="2"/>
        <v>632100.00000000012</v>
      </c>
      <c r="L37" s="205">
        <v>0</v>
      </c>
      <c r="M37" s="205">
        <v>0</v>
      </c>
      <c r="N37" s="205">
        <v>0</v>
      </c>
      <c r="O37" s="205">
        <v>0</v>
      </c>
      <c r="P37" s="205">
        <v>0</v>
      </c>
      <c r="Q37" s="205">
        <v>0</v>
      </c>
      <c r="R37" s="205">
        <v>0</v>
      </c>
      <c r="S37" s="205">
        <v>0</v>
      </c>
    </row>
    <row r="38" spans="1:19">
      <c r="A38" s="96" t="s">
        <v>178</v>
      </c>
      <c r="B38" s="205">
        <v>0</v>
      </c>
      <c r="C38" s="201"/>
      <c r="D38" s="189"/>
      <c r="E38" s="189"/>
      <c r="F38" s="189"/>
      <c r="G38" s="80" t="s">
        <v>125</v>
      </c>
      <c r="H38" s="264"/>
      <c r="I38" s="265"/>
      <c r="J38" s="265"/>
      <c r="K38" s="266"/>
    </row>
    <row r="39" spans="1:19">
      <c r="A39" s="96" t="s">
        <v>179</v>
      </c>
      <c r="B39" s="205">
        <v>0</v>
      </c>
      <c r="C39" s="201"/>
      <c r="D39" s="189"/>
      <c r="E39" s="189"/>
      <c r="F39" s="189"/>
      <c r="G39" s="96" t="s">
        <v>8</v>
      </c>
      <c r="H39" s="134">
        <f>D13</f>
        <v>33697916.666666664</v>
      </c>
      <c r="I39" s="134">
        <f>H39</f>
        <v>33697916.666666664</v>
      </c>
      <c r="J39" s="134">
        <f t="shared" ref="J39:K39" si="3">I39</f>
        <v>33697916.666666664</v>
      </c>
      <c r="K39" s="134">
        <f t="shared" si="3"/>
        <v>33697916.666666664</v>
      </c>
      <c r="L39" s="205">
        <v>0</v>
      </c>
      <c r="M39" s="205">
        <v>0</v>
      </c>
      <c r="N39" s="205">
        <v>0</v>
      </c>
      <c r="O39" s="205">
        <v>0</v>
      </c>
      <c r="P39" s="205">
        <v>0</v>
      </c>
      <c r="Q39" s="205">
        <v>0</v>
      </c>
      <c r="R39" s="205">
        <v>0</v>
      </c>
      <c r="S39" s="205">
        <v>0</v>
      </c>
    </row>
    <row r="40" spans="1:19">
      <c r="A40" s="141" t="s">
        <v>104</v>
      </c>
      <c r="D40" s="189"/>
      <c r="E40" s="189"/>
      <c r="F40" s="189"/>
      <c r="G40" s="96" t="s">
        <v>114</v>
      </c>
      <c r="H40" s="134">
        <f>D12</f>
        <v>101093750</v>
      </c>
      <c r="I40" s="134">
        <f t="shared" ref="I40:K40" si="4">H40</f>
        <v>101093750</v>
      </c>
      <c r="J40" s="134">
        <f t="shared" si="4"/>
        <v>101093750</v>
      </c>
      <c r="K40" s="134">
        <f t="shared" si="4"/>
        <v>101093750</v>
      </c>
      <c r="L40" s="205">
        <v>0</v>
      </c>
      <c r="M40" s="205">
        <v>0</v>
      </c>
      <c r="N40" s="205">
        <v>0</v>
      </c>
      <c r="O40" s="205">
        <v>0</v>
      </c>
      <c r="P40" s="205">
        <v>0</v>
      </c>
      <c r="Q40" s="205">
        <v>0</v>
      </c>
      <c r="R40" s="205">
        <v>0</v>
      </c>
      <c r="S40" s="205">
        <v>0</v>
      </c>
    </row>
    <row r="41" spans="1:19">
      <c r="A41" s="96" t="s">
        <v>177</v>
      </c>
      <c r="B41" s="205">
        <v>0</v>
      </c>
      <c r="C41" s="201"/>
      <c r="G41" s="96" t="s">
        <v>110</v>
      </c>
      <c r="H41" s="134">
        <f>D14</f>
        <v>33697916.666666664</v>
      </c>
      <c r="I41" s="134">
        <f t="shared" ref="I41:K41" si="5">H41</f>
        <v>33697916.666666664</v>
      </c>
      <c r="J41" s="134">
        <f t="shared" si="5"/>
        <v>33697916.666666664</v>
      </c>
      <c r="K41" s="134">
        <f t="shared" si="5"/>
        <v>33697916.666666664</v>
      </c>
      <c r="L41" s="205">
        <v>0</v>
      </c>
      <c r="M41" s="205">
        <v>0</v>
      </c>
      <c r="N41" s="205">
        <v>0</v>
      </c>
      <c r="O41" s="205">
        <v>0</v>
      </c>
      <c r="P41" s="205">
        <v>0</v>
      </c>
      <c r="Q41" s="205">
        <v>0</v>
      </c>
      <c r="R41" s="205">
        <v>0</v>
      </c>
      <c r="S41" s="205">
        <v>0</v>
      </c>
    </row>
    <row r="42" spans="1:19">
      <c r="A42" s="96" t="s">
        <v>178</v>
      </c>
      <c r="B42" s="205">
        <v>0</v>
      </c>
      <c r="C42" s="201"/>
      <c r="D42" s="208"/>
      <c r="E42" s="208"/>
      <c r="F42" s="208"/>
      <c r="G42" s="80" t="s">
        <v>119</v>
      </c>
    </row>
    <row r="43" spans="1:19">
      <c r="A43" s="96" t="s">
        <v>179</v>
      </c>
      <c r="B43" s="205">
        <v>0</v>
      </c>
      <c r="C43" s="201"/>
      <c r="G43" s="96" t="s">
        <v>8</v>
      </c>
      <c r="H43" s="144">
        <f>H36*H33^2+H37*H32^2</f>
        <v>25284000000.000004</v>
      </c>
      <c r="I43" s="144">
        <f t="shared" ref="I43:S43" si="6">I36*I33^2+I37*I32^2</f>
        <v>25284000000.000004</v>
      </c>
      <c r="J43" s="144">
        <f t="shared" si="6"/>
        <v>25284000000.000004</v>
      </c>
      <c r="K43" s="144">
        <f t="shared" si="6"/>
        <v>25284000000.000004</v>
      </c>
      <c r="L43" s="99">
        <f t="shared" si="6"/>
        <v>0</v>
      </c>
      <c r="M43" s="99">
        <f t="shared" si="6"/>
        <v>0</v>
      </c>
      <c r="N43" s="99">
        <f t="shared" si="6"/>
        <v>0</v>
      </c>
      <c r="O43" s="99">
        <f t="shared" si="6"/>
        <v>0</v>
      </c>
      <c r="P43" s="99">
        <f t="shared" si="6"/>
        <v>0</v>
      </c>
      <c r="Q43" s="99">
        <f t="shared" si="6"/>
        <v>0</v>
      </c>
      <c r="R43" s="99">
        <f t="shared" si="6"/>
        <v>0</v>
      </c>
      <c r="S43" s="99">
        <f t="shared" si="6"/>
        <v>0</v>
      </c>
    </row>
    <row r="44" spans="1:19">
      <c r="A44" s="206" t="s">
        <v>194</v>
      </c>
      <c r="D44" s="228"/>
      <c r="E44" s="228"/>
      <c r="F44" s="228"/>
      <c r="G44" s="96" t="s">
        <v>114</v>
      </c>
      <c r="H44" s="144">
        <f>H35*H33^2+H37*H31^2</f>
        <v>25284000000.000004</v>
      </c>
      <c r="I44" s="144">
        <f t="shared" ref="I44:S44" si="7">I35*I33^2+I37*I31^2</f>
        <v>25284000000.000004</v>
      </c>
      <c r="J44" s="144">
        <f t="shared" si="7"/>
        <v>25284000000.000004</v>
      </c>
      <c r="K44" s="144">
        <f t="shared" si="7"/>
        <v>25284000000.000004</v>
      </c>
      <c r="L44" s="99">
        <f t="shared" si="7"/>
        <v>0</v>
      </c>
      <c r="M44" s="99">
        <f t="shared" si="7"/>
        <v>0</v>
      </c>
      <c r="N44" s="99">
        <f t="shared" si="7"/>
        <v>0</v>
      </c>
      <c r="O44" s="99">
        <f t="shared" si="7"/>
        <v>0</v>
      </c>
      <c r="P44" s="99">
        <f t="shared" si="7"/>
        <v>0</v>
      </c>
      <c r="Q44" s="99">
        <f t="shared" si="7"/>
        <v>0</v>
      </c>
      <c r="R44" s="99">
        <f t="shared" si="7"/>
        <v>0</v>
      </c>
      <c r="S44" s="99">
        <f t="shared" si="7"/>
        <v>0</v>
      </c>
    </row>
    <row r="45" spans="1:19">
      <c r="A45" s="96" t="s">
        <v>115</v>
      </c>
      <c r="B45" s="99">
        <f>SQRT((H47^2+I47^2+J47^2+K47^2+L47^2+M47^2+N47^2+O47^2+P47^2+Q47^2+R47^2+S47^2)/H$28)</f>
        <v>5.0000000000000001E-3</v>
      </c>
      <c r="C45" s="189"/>
      <c r="D45" s="210"/>
      <c r="E45" s="210"/>
      <c r="F45" s="210"/>
      <c r="G45" s="96" t="s">
        <v>110</v>
      </c>
      <c r="H45" s="144">
        <f>H35*H32^2+H36*H31^2</f>
        <v>25284000000.000004</v>
      </c>
      <c r="I45" s="144">
        <f t="shared" ref="I45:S45" si="8">I35*I32^2+I36*I31^2</f>
        <v>25284000000.000004</v>
      </c>
      <c r="J45" s="144">
        <f t="shared" si="8"/>
        <v>25284000000.000004</v>
      </c>
      <c r="K45" s="144">
        <f t="shared" si="8"/>
        <v>25284000000.000004</v>
      </c>
      <c r="L45" s="99">
        <f t="shared" si="8"/>
        <v>0</v>
      </c>
      <c r="M45" s="99">
        <f t="shared" si="8"/>
        <v>0</v>
      </c>
      <c r="N45" s="99">
        <f t="shared" si="8"/>
        <v>0</v>
      </c>
      <c r="O45" s="99">
        <f t="shared" si="8"/>
        <v>0</v>
      </c>
      <c r="P45" s="99">
        <f t="shared" si="8"/>
        <v>0</v>
      </c>
      <c r="Q45" s="99">
        <f t="shared" si="8"/>
        <v>0</v>
      </c>
      <c r="R45" s="99">
        <f t="shared" si="8"/>
        <v>0</v>
      </c>
      <c r="S45" s="99">
        <f t="shared" si="8"/>
        <v>0</v>
      </c>
    </row>
    <row r="46" spans="1:19">
      <c r="A46" s="96" t="s">
        <v>116</v>
      </c>
      <c r="B46" s="99">
        <f>SQRT((H48^2+I48^2+J48^2+K48^2+L48^2+M48^2+N48^2+O48^2+P48^2+Q48^2+R48^2+S48^2)/H$28)</f>
        <v>5.0000000000000001E-3</v>
      </c>
      <c r="C46" s="189"/>
      <c r="D46" s="210"/>
      <c r="E46" s="210"/>
      <c r="F46" s="210"/>
      <c r="G46" s="80" t="s">
        <v>293</v>
      </c>
    </row>
    <row r="47" spans="1:19">
      <c r="A47" s="96" t="s">
        <v>117</v>
      </c>
      <c r="B47" s="99">
        <f>SQRT((H49^2+I49^2+J49^2+K49^2+L49^2+M49^2+N49^2+O49^2+P49^2+Q49^2+R49^2+S49^2)/H$28)</f>
        <v>5.0000000000000001E-3</v>
      </c>
      <c r="C47" s="189"/>
      <c r="D47" s="192"/>
      <c r="E47" s="192"/>
      <c r="F47" s="192"/>
      <c r="G47" s="96" t="s">
        <v>115</v>
      </c>
      <c r="H47" s="205">
        <f t="shared" ref="H47:K49" si="9">IF(REBS="YES", REB, 0.005)</f>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2.5000000000000001E-5</v>
      </c>
      <c r="C48" s="189"/>
      <c r="D48" s="210"/>
      <c r="E48" s="210"/>
      <c r="F48" s="210"/>
      <c r="G48" s="96" t="s">
        <v>116</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0">
      <c r="A49" s="96" t="s">
        <v>81</v>
      </c>
      <c r="B49" s="144">
        <f>SQRT((H52^2+I52^2+J52^2+K52^2+L52^2+M52^2+N52^2+O52^2+P52^2+Q52^2+R52^2+S52^2+B38^2)/H$28)</f>
        <v>2.5000000000000001E-5</v>
      </c>
      <c r="C49" s="189"/>
      <c r="D49" s="210"/>
      <c r="E49" s="210"/>
      <c r="F49" s="210"/>
      <c r="G49" s="96" t="s">
        <v>117</v>
      </c>
      <c r="H49" s="205">
        <f t="shared" si="9"/>
        <v>5.0000000000000001E-3</v>
      </c>
      <c r="I49" s="205">
        <f t="shared" si="9"/>
        <v>5.0000000000000001E-3</v>
      </c>
      <c r="J49" s="205">
        <f t="shared" si="9"/>
        <v>5.0000000000000001E-3</v>
      </c>
      <c r="K49" s="205">
        <f t="shared" si="9"/>
        <v>5.0000000000000001E-3</v>
      </c>
      <c r="L49" s="205">
        <v>0</v>
      </c>
      <c r="M49" s="205">
        <v>0</v>
      </c>
      <c r="N49" s="205">
        <v>0</v>
      </c>
      <c r="O49" s="205">
        <v>0</v>
      </c>
      <c r="P49" s="205">
        <v>0</v>
      </c>
      <c r="Q49" s="205">
        <v>0</v>
      </c>
      <c r="R49" s="205">
        <v>0</v>
      </c>
      <c r="S49" s="205">
        <v>0</v>
      </c>
    </row>
    <row r="50" spans="1:20">
      <c r="A50" s="96" t="s">
        <v>82</v>
      </c>
      <c r="B50" s="144">
        <f>SQRT((H53^2+I53^2+J53^2+K53^2+L53^2+M53^2+N53^2+O53^2+P53^2+Q53^2+R53^2+S53^2+B39^2)/H$28)</f>
        <v>2.5000000000000001E-5</v>
      </c>
      <c r="C50" s="189"/>
      <c r="D50" s="210"/>
      <c r="E50" s="210"/>
      <c r="F50" s="210"/>
      <c r="G50" s="80" t="s">
        <v>238</v>
      </c>
    </row>
    <row r="51" spans="1:20" ht="34">
      <c r="A51" s="207" t="s">
        <v>195</v>
      </c>
      <c r="B51" s="101"/>
      <c r="G51" s="96" t="s">
        <v>80</v>
      </c>
      <c r="H51" s="144">
        <f>H98</f>
        <v>2.4999999875000002E-5</v>
      </c>
      <c r="I51" s="144">
        <f t="shared" ref="I51:S51" si="10">I98</f>
        <v>2.4999999875000002E-5</v>
      </c>
      <c r="J51" s="144">
        <f t="shared" si="10"/>
        <v>2.5000000125000001E-5</v>
      </c>
      <c r="K51" s="144">
        <f t="shared" si="10"/>
        <v>2.5000000125000001E-5</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0" ht="15" customHeight="1">
      <c r="A52" s="96" t="s">
        <v>115</v>
      </c>
      <c r="B52" s="99">
        <f>SQRT((H55^2+I55^2+J55^2+K55^2+L55^2+M55^2+N55^2+O55^2+P55^2+Q55^2+R55^2+S55^2)/H$28)</f>
        <v>0.05</v>
      </c>
      <c r="C52" s="189"/>
      <c r="D52" s="211"/>
      <c r="E52" s="211"/>
      <c r="F52" s="211"/>
      <c r="G52" s="96" t="s">
        <v>81</v>
      </c>
      <c r="H52" s="144">
        <f>H102</f>
        <v>2.4999999875000002E-5</v>
      </c>
      <c r="I52" s="144">
        <f t="shared" ref="I52:S52" si="11">I102</f>
        <v>2.4999999875000002E-5</v>
      </c>
      <c r="J52" s="144">
        <f t="shared" si="11"/>
        <v>2.5000000125000001E-5</v>
      </c>
      <c r="K52" s="144">
        <f t="shared" si="11"/>
        <v>2.5000000125000001E-5</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0">
      <c r="A53" s="96" t="s">
        <v>116</v>
      </c>
      <c r="B53" s="99">
        <f>SQRT((H56^2+I56^2+J56^2+K56^2+L56^2+M56^2+N56^2+O56^2+P56^2+Q56^2+R56^2+S56^2)/H$28)</f>
        <v>0.05</v>
      </c>
      <c r="C53" s="189"/>
      <c r="D53" s="211"/>
      <c r="E53" s="211"/>
      <c r="F53" s="211"/>
      <c r="G53" s="96" t="s">
        <v>82</v>
      </c>
      <c r="H53" s="144">
        <f>H106</f>
        <v>2.4999999875000002E-5</v>
      </c>
      <c r="I53" s="144">
        <f t="shared" ref="I53:S53" si="12">I106</f>
        <v>2.4999999875000002E-5</v>
      </c>
      <c r="J53" s="144">
        <f t="shared" si="12"/>
        <v>2.5000000125000001E-5</v>
      </c>
      <c r="K53" s="144">
        <f t="shared" si="12"/>
        <v>2.5000000125000001E-5</v>
      </c>
      <c r="L53" s="144">
        <f t="shared" si="12"/>
        <v>0</v>
      </c>
      <c r="M53" s="144">
        <f t="shared" si="12"/>
        <v>0</v>
      </c>
      <c r="N53" s="144">
        <f t="shared" si="12"/>
        <v>0</v>
      </c>
      <c r="O53" s="144">
        <f t="shared" si="12"/>
        <v>0</v>
      </c>
      <c r="P53" s="144">
        <f t="shared" si="12"/>
        <v>0</v>
      </c>
      <c r="Q53" s="144">
        <f t="shared" si="12"/>
        <v>0</v>
      </c>
      <c r="R53" s="144">
        <f t="shared" si="12"/>
        <v>0</v>
      </c>
      <c r="S53" s="144">
        <f t="shared" si="12"/>
        <v>0</v>
      </c>
    </row>
    <row r="54" spans="1:20">
      <c r="A54" s="96" t="s">
        <v>117</v>
      </c>
      <c r="B54" s="99">
        <f>SQRT((H57^2+I57^2+J57^2+K57^2+L57^2+M57^2+N57^2+O57^2+P57^2+Q57^2+R57^2+S57^2)/H$28)</f>
        <v>0.05</v>
      </c>
      <c r="C54" s="189"/>
      <c r="D54" s="211"/>
      <c r="E54" s="211"/>
      <c r="F54" s="211"/>
      <c r="G54" s="80" t="s">
        <v>317</v>
      </c>
    </row>
    <row r="55" spans="1:20">
      <c r="A55" s="96" t="s">
        <v>80</v>
      </c>
      <c r="B55" s="99">
        <f>SQRT((H59^2+I59^2+J59^2+K59^2+L59^2+M59^2+N59^2+O59^2+P59^2+Q59^2+R59^2+S59^2+B41^2)/H$28)</f>
        <v>2.5000000000000001E-4</v>
      </c>
      <c r="C55" s="189"/>
      <c r="D55" s="212"/>
      <c r="E55" s="212"/>
      <c r="F55" s="212"/>
      <c r="G55" s="96" t="s">
        <v>115</v>
      </c>
      <c r="H55" s="205">
        <v>0.05</v>
      </c>
      <c r="I55" s="205">
        <v>0.05</v>
      </c>
      <c r="J55" s="205">
        <v>0.05</v>
      </c>
      <c r="K55" s="205">
        <v>0.05</v>
      </c>
      <c r="L55" s="205">
        <v>0</v>
      </c>
      <c r="M55" s="205">
        <v>0</v>
      </c>
      <c r="N55" s="205">
        <v>0</v>
      </c>
      <c r="O55" s="205">
        <v>0</v>
      </c>
      <c r="P55" s="205">
        <v>0</v>
      </c>
      <c r="Q55" s="205">
        <v>0</v>
      </c>
      <c r="R55" s="205">
        <v>0</v>
      </c>
      <c r="S55" s="205">
        <v>0</v>
      </c>
    </row>
    <row r="56" spans="1:20">
      <c r="A56" s="96" t="s">
        <v>81</v>
      </c>
      <c r="B56" s="99">
        <f>SQRT((H60^2+I60^2+J60^2+K60^2+L60^2+M60^2+N60^2+O60^2+P60^2+Q60^2+R60^2+S60^2+B42^2)/H$28)</f>
        <v>2.5000000000000001E-4</v>
      </c>
      <c r="C56" s="189"/>
      <c r="G56" s="96" t="s">
        <v>116</v>
      </c>
      <c r="H56" s="205">
        <v>0.05</v>
      </c>
      <c r="I56" s="205">
        <v>0.05</v>
      </c>
      <c r="J56" s="205">
        <v>0.05</v>
      </c>
      <c r="K56" s="205">
        <v>0.05</v>
      </c>
      <c r="L56" s="205">
        <v>0</v>
      </c>
      <c r="M56" s="205">
        <v>0</v>
      </c>
      <c r="N56" s="205">
        <v>0</v>
      </c>
      <c r="O56" s="205">
        <v>0</v>
      </c>
      <c r="P56" s="205">
        <v>0</v>
      </c>
      <c r="Q56" s="205">
        <v>0</v>
      </c>
      <c r="R56" s="205">
        <v>0</v>
      </c>
      <c r="S56" s="205">
        <v>0</v>
      </c>
    </row>
    <row r="57" spans="1:20">
      <c r="A57" s="96" t="s">
        <v>82</v>
      </c>
      <c r="B57" s="99">
        <f>SQRT((H61^2+I61^2+J61^2+K61^2+L61^2+M61^2+N61^2+O61^2+P61^2+Q61^2+R61^2+S61^2+B43^2)/H$28)</f>
        <v>2.5000000000000001E-4</v>
      </c>
      <c r="C57" s="189"/>
      <c r="D57" s="201"/>
      <c r="E57" s="201"/>
      <c r="F57" s="201"/>
      <c r="G57" s="96" t="s">
        <v>117</v>
      </c>
      <c r="H57" s="205">
        <v>0.05</v>
      </c>
      <c r="I57" s="205">
        <v>0.05</v>
      </c>
      <c r="J57" s="205">
        <v>0.05</v>
      </c>
      <c r="K57" s="205">
        <v>0.05</v>
      </c>
      <c r="L57" s="205">
        <v>0</v>
      </c>
      <c r="M57" s="205">
        <v>0</v>
      </c>
      <c r="N57" s="205">
        <v>0</v>
      </c>
      <c r="O57" s="205">
        <v>0</v>
      </c>
      <c r="P57" s="205">
        <v>0</v>
      </c>
      <c r="Q57" s="205">
        <v>0</v>
      </c>
      <c r="R57" s="205">
        <v>0</v>
      </c>
      <c r="S57" s="205">
        <v>0</v>
      </c>
    </row>
    <row r="58" spans="1:20">
      <c r="D58" s="201"/>
      <c r="E58" s="201"/>
      <c r="F58" s="201"/>
      <c r="G58" s="80" t="s">
        <v>239</v>
      </c>
    </row>
    <row r="59" spans="1:20">
      <c r="A59" s="292" t="s">
        <v>387</v>
      </c>
      <c r="B59" s="292"/>
      <c r="D59" s="201"/>
      <c r="E59" s="201"/>
      <c r="F59" s="201"/>
      <c r="G59" s="96" t="s">
        <v>80</v>
      </c>
      <c r="H59" s="144">
        <f>H113</f>
        <v>2.4999999875000001E-4</v>
      </c>
      <c r="I59" s="144">
        <f t="shared" ref="I59:S59" si="13">I113</f>
        <v>2.4999999875000001E-4</v>
      </c>
      <c r="J59" s="144">
        <f t="shared" si="13"/>
        <v>2.5000000125E-4</v>
      </c>
      <c r="K59" s="144">
        <f t="shared" si="13"/>
        <v>2.5000000125E-4</v>
      </c>
      <c r="L59" s="144">
        <f t="shared" si="13"/>
        <v>0</v>
      </c>
      <c r="M59" s="144">
        <f t="shared" si="13"/>
        <v>0</v>
      </c>
      <c r="N59" s="144">
        <f t="shared" si="13"/>
        <v>0</v>
      </c>
      <c r="O59" s="144">
        <f t="shared" si="13"/>
        <v>0</v>
      </c>
      <c r="P59" s="144">
        <f t="shared" si="13"/>
        <v>0</v>
      </c>
      <c r="Q59" s="144">
        <f t="shared" si="13"/>
        <v>0</v>
      </c>
      <c r="R59" s="144">
        <f t="shared" si="13"/>
        <v>0</v>
      </c>
      <c r="S59" s="144">
        <f t="shared" si="13"/>
        <v>0</v>
      </c>
    </row>
    <row r="60" spans="1:20">
      <c r="A60" s="293" t="s">
        <v>80</v>
      </c>
      <c r="B60" s="294">
        <f>IF(MAX(ABS(B48),ABS(B55))=0, 0.001, MAX(ABS(B48),ABS(B55)))</f>
        <v>2.5000000000000001E-4</v>
      </c>
      <c r="G60" s="96" t="s">
        <v>81</v>
      </c>
      <c r="H60" s="144">
        <f>H118</f>
        <v>-2.4999999875000001E-4</v>
      </c>
      <c r="I60" s="144">
        <f t="shared" ref="I60:S60" si="14">I118</f>
        <v>-2.4999999875000001E-4</v>
      </c>
      <c r="J60" s="144">
        <f t="shared" si="14"/>
        <v>2.5000000125E-4</v>
      </c>
      <c r="K60" s="144">
        <f t="shared" si="14"/>
        <v>2.5000000125E-4</v>
      </c>
      <c r="L60" s="144">
        <f t="shared" si="14"/>
        <v>0</v>
      </c>
      <c r="M60" s="144">
        <f t="shared" si="14"/>
        <v>0</v>
      </c>
      <c r="N60" s="144">
        <f t="shared" si="14"/>
        <v>0</v>
      </c>
      <c r="O60" s="144">
        <f t="shared" si="14"/>
        <v>0</v>
      </c>
      <c r="P60" s="144">
        <f t="shared" si="14"/>
        <v>0</v>
      </c>
      <c r="Q60" s="144">
        <f t="shared" si="14"/>
        <v>0</v>
      </c>
      <c r="R60" s="144">
        <f t="shared" si="14"/>
        <v>0</v>
      </c>
      <c r="S60" s="144">
        <f t="shared" si="14"/>
        <v>0</v>
      </c>
    </row>
    <row r="61" spans="1:20">
      <c r="A61" s="293" t="s">
        <v>81</v>
      </c>
      <c r="B61" s="294">
        <f t="shared" ref="B61:B62" si="15">IF(MAX(ABS(B49),ABS(B56))=0, 0.001, MAX(ABS(B49),ABS(B56)))</f>
        <v>2.5000000000000001E-4</v>
      </c>
      <c r="D61" s="201"/>
      <c r="E61" s="201"/>
      <c r="F61" s="201"/>
      <c r="G61" s="96" t="s">
        <v>82</v>
      </c>
      <c r="H61" s="144">
        <f>H123</f>
        <v>2.4999999875000001E-4</v>
      </c>
      <c r="I61" s="144">
        <f t="shared" ref="I61:S61" si="16">I123</f>
        <v>2.4999999875000001E-4</v>
      </c>
      <c r="J61" s="144">
        <f t="shared" si="16"/>
        <v>-2.5000000125E-4</v>
      </c>
      <c r="K61" s="144">
        <f t="shared" si="16"/>
        <v>-2.5000000125E-4</v>
      </c>
      <c r="L61" s="144">
        <f t="shared" si="16"/>
        <v>0</v>
      </c>
      <c r="M61" s="144">
        <f t="shared" si="16"/>
        <v>0</v>
      </c>
      <c r="N61" s="144">
        <f t="shared" si="16"/>
        <v>0</v>
      </c>
      <c r="O61" s="144">
        <f t="shared" si="16"/>
        <v>0</v>
      </c>
      <c r="P61" s="144">
        <f t="shared" si="16"/>
        <v>0</v>
      </c>
      <c r="Q61" s="144">
        <f t="shared" si="16"/>
        <v>0</v>
      </c>
      <c r="R61" s="144">
        <f t="shared" si="16"/>
        <v>0</v>
      </c>
      <c r="S61" s="144">
        <f t="shared" si="16"/>
        <v>0</v>
      </c>
    </row>
    <row r="62" spans="1:20">
      <c r="A62" s="293" t="s">
        <v>82</v>
      </c>
      <c r="B62" s="294">
        <f t="shared" si="15"/>
        <v>2.5000000000000001E-4</v>
      </c>
      <c r="D62" s="201"/>
      <c r="E62" s="201"/>
      <c r="F62" s="201"/>
      <c r="G62" s="206" t="s">
        <v>284</v>
      </c>
    </row>
    <row r="63" spans="1:20">
      <c r="D63" s="201"/>
      <c r="E63" s="201"/>
      <c r="F63" s="201"/>
      <c r="I63" s="111"/>
      <c r="J63" s="111"/>
      <c r="K63" s="111"/>
      <c r="L63" s="111"/>
      <c r="M63" s="111"/>
      <c r="N63" s="111"/>
    </row>
    <row r="64" spans="1:20">
      <c r="D64" s="201"/>
      <c r="E64" s="201"/>
      <c r="F64" s="201"/>
      <c r="G64" s="112"/>
      <c r="H64" s="366"/>
      <c r="I64" s="214"/>
      <c r="J64" s="214"/>
      <c r="K64" s="214"/>
      <c r="L64" s="214"/>
      <c r="M64" s="214"/>
      <c r="N64" s="214"/>
      <c r="O64" s="111"/>
    </row>
    <row r="65" spans="4:15">
      <c r="D65" s="201"/>
      <c r="E65" s="201"/>
      <c r="F65" s="201"/>
      <c r="G65" s="112"/>
      <c r="H65" s="366"/>
      <c r="I65" s="214"/>
      <c r="J65" s="214"/>
      <c r="K65" s="214"/>
      <c r="L65" s="214"/>
      <c r="M65" s="214"/>
      <c r="N65" s="214"/>
      <c r="O65" s="111"/>
    </row>
    <row r="66" spans="4:15">
      <c r="D66" s="201"/>
      <c r="E66" s="201"/>
      <c r="F66" s="201"/>
      <c r="G66" s="112"/>
      <c r="H66" s="366"/>
      <c r="I66" s="214"/>
      <c r="J66" s="214"/>
      <c r="K66" s="214"/>
      <c r="L66" s="214"/>
      <c r="M66" s="214"/>
      <c r="N66" s="214"/>
      <c r="O66" s="111"/>
    </row>
    <row r="67" spans="4:15">
      <c r="D67" s="201"/>
      <c r="E67" s="201"/>
      <c r="F67" s="201"/>
      <c r="G67" s="112"/>
      <c r="H67" s="366"/>
      <c r="I67" s="214"/>
      <c r="J67" s="214"/>
      <c r="K67" s="214"/>
      <c r="L67" s="214"/>
      <c r="M67" s="214"/>
      <c r="N67" s="214"/>
      <c r="O67" s="111"/>
    </row>
    <row r="68" spans="4:15">
      <c r="D68" s="201"/>
      <c r="E68" s="201"/>
      <c r="F68" s="201"/>
      <c r="G68" s="112"/>
      <c r="H68" s="366"/>
      <c r="I68" s="214"/>
      <c r="J68" s="214"/>
      <c r="K68" s="214"/>
      <c r="L68" s="214"/>
      <c r="M68" s="214"/>
      <c r="N68" s="214"/>
      <c r="O68" s="111"/>
    </row>
    <row r="69" spans="4:15">
      <c r="D69" s="201"/>
      <c r="E69" s="201"/>
      <c r="F69" s="201"/>
      <c r="G69" s="112"/>
      <c r="H69" s="366"/>
      <c r="I69" s="214"/>
      <c r="J69" s="214"/>
      <c r="K69" s="214"/>
      <c r="L69" s="214"/>
      <c r="M69" s="214"/>
      <c r="N69" s="214"/>
      <c r="O69" s="111"/>
    </row>
    <row r="70" spans="4:15">
      <c r="D70" s="201"/>
      <c r="E70" s="201"/>
      <c r="F70" s="201"/>
      <c r="G70" s="112"/>
      <c r="H70" s="187"/>
      <c r="I70" s="214"/>
      <c r="J70" s="214"/>
      <c r="K70" s="214"/>
      <c r="L70" s="214"/>
      <c r="M70" s="214"/>
      <c r="N70" s="214"/>
      <c r="O70" s="111"/>
    </row>
    <row r="71" spans="4:15">
      <c r="D71" s="201"/>
      <c r="E71" s="201"/>
      <c r="F71" s="201"/>
      <c r="G71" s="112"/>
      <c r="H71" s="187"/>
      <c r="I71" s="214"/>
      <c r="J71" s="214"/>
      <c r="K71" s="214"/>
      <c r="L71" s="214"/>
      <c r="M71" s="214"/>
      <c r="N71" s="214"/>
      <c r="O71" s="111"/>
    </row>
    <row r="72" spans="4:15">
      <c r="D72" s="201"/>
      <c r="E72" s="201"/>
      <c r="F72" s="201"/>
      <c r="G72" s="112"/>
      <c r="H72" s="187"/>
      <c r="I72" s="214"/>
      <c r="J72" s="214"/>
      <c r="K72" s="214"/>
      <c r="L72" s="214"/>
      <c r="M72" s="214"/>
      <c r="N72" s="214"/>
      <c r="O72" s="111"/>
    </row>
    <row r="73" spans="4:15">
      <c r="D73" s="201"/>
      <c r="E73" s="201"/>
      <c r="F73" s="201"/>
      <c r="G73" s="112"/>
      <c r="H73" s="187"/>
      <c r="I73" s="214"/>
      <c r="J73" s="214"/>
      <c r="K73" s="214"/>
      <c r="L73" s="214"/>
      <c r="M73" s="214"/>
      <c r="N73" s="214"/>
      <c r="O73" s="111"/>
    </row>
    <row r="74" spans="4:15">
      <c r="D74" s="201"/>
      <c r="E74" s="201"/>
      <c r="F74" s="201"/>
      <c r="G74" s="112"/>
      <c r="H74" s="187"/>
      <c r="I74" s="214"/>
      <c r="J74" s="214"/>
      <c r="K74" s="214"/>
      <c r="L74" s="214"/>
      <c r="M74" s="214"/>
      <c r="N74" s="214"/>
      <c r="O74" s="111"/>
    </row>
    <row r="75" spans="4:15">
      <c r="D75" s="201"/>
      <c r="E75" s="201"/>
      <c r="F75" s="201"/>
      <c r="G75" s="112"/>
      <c r="H75" s="187"/>
      <c r="I75" s="214"/>
      <c r="J75" s="214"/>
      <c r="K75" s="214"/>
      <c r="L75" s="214"/>
      <c r="M75" s="214"/>
      <c r="N75" s="214"/>
      <c r="O75" s="111"/>
    </row>
    <row r="76" spans="4:15">
      <c r="D76" s="201"/>
      <c r="E76" s="201"/>
      <c r="F76" s="201"/>
      <c r="G76" s="112"/>
      <c r="H76" s="187"/>
      <c r="I76" s="214"/>
      <c r="J76" s="214"/>
      <c r="K76" s="214"/>
      <c r="L76" s="214"/>
      <c r="M76" s="214"/>
      <c r="N76" s="214"/>
      <c r="O76" s="111"/>
    </row>
    <row r="77" spans="4:15">
      <c r="D77" s="201"/>
      <c r="E77" s="201"/>
      <c r="F77" s="201"/>
      <c r="G77" s="112"/>
      <c r="H77" s="187"/>
      <c r="I77" s="214"/>
      <c r="J77" s="214"/>
      <c r="K77" s="214"/>
      <c r="L77" s="214"/>
      <c r="M77" s="214"/>
      <c r="N77" s="214"/>
      <c r="O77" s="111"/>
    </row>
    <row r="78" spans="4:15">
      <c r="D78" s="201"/>
      <c r="E78" s="201"/>
      <c r="F78" s="201"/>
      <c r="G78" s="112"/>
      <c r="H78" s="187"/>
      <c r="I78" s="214"/>
      <c r="J78" s="214"/>
      <c r="K78" s="214"/>
      <c r="L78" s="214"/>
      <c r="M78" s="214"/>
      <c r="N78" s="214"/>
      <c r="O78" s="111"/>
    </row>
    <row r="79" spans="4:15">
      <c r="D79" s="201"/>
      <c r="E79" s="201"/>
      <c r="F79" s="201"/>
      <c r="G79" s="112"/>
      <c r="H79" s="187"/>
      <c r="I79" s="214"/>
      <c r="J79" s="214"/>
      <c r="K79" s="214"/>
      <c r="L79" s="214"/>
      <c r="M79" s="214"/>
      <c r="N79" s="214"/>
      <c r="O79" s="111"/>
    </row>
    <row r="80" spans="4:15">
      <c r="D80" s="201"/>
      <c r="E80" s="201"/>
      <c r="F80" s="201"/>
      <c r="G80" s="112"/>
      <c r="H80" s="187"/>
      <c r="I80" s="214"/>
      <c r="J80" s="214"/>
      <c r="K80" s="214"/>
      <c r="L80" s="214"/>
      <c r="M80" s="214"/>
      <c r="N80" s="214"/>
      <c r="O80" s="111"/>
    </row>
    <row r="81" spans="1:19">
      <c r="D81" s="201"/>
      <c r="E81" s="201"/>
      <c r="F81" s="201"/>
      <c r="G81" s="112"/>
      <c r="H81" s="187"/>
      <c r="I81" s="214"/>
      <c r="J81" s="214"/>
      <c r="K81" s="214"/>
      <c r="L81" s="214"/>
      <c r="M81" s="214"/>
      <c r="N81" s="214"/>
      <c r="O81" s="111"/>
    </row>
    <row r="82" spans="1:19">
      <c r="A82" s="96"/>
      <c r="B82" s="201"/>
      <c r="C82" s="201"/>
      <c r="D82" s="201"/>
      <c r="E82" s="201"/>
      <c r="F82" s="201"/>
      <c r="G82" s="112"/>
      <c r="H82" s="187"/>
      <c r="I82" s="214"/>
      <c r="J82" s="214"/>
      <c r="K82" s="214"/>
      <c r="L82" s="214"/>
      <c r="M82" s="214"/>
      <c r="N82" s="214"/>
      <c r="O82" s="111"/>
    </row>
    <row r="83" spans="1:19">
      <c r="A83" s="96"/>
      <c r="B83" s="201"/>
      <c r="C83" s="201"/>
      <c r="D83" s="201"/>
      <c r="E83" s="201"/>
      <c r="F83" s="201"/>
      <c r="G83" s="112"/>
      <c r="H83" s="187"/>
      <c r="I83" s="214"/>
      <c r="J83" s="214"/>
      <c r="K83" s="214"/>
      <c r="L83" s="214"/>
      <c r="M83" s="214"/>
      <c r="N83" s="214"/>
      <c r="O83" s="111"/>
    </row>
    <row r="84" spans="1:19">
      <c r="A84" s="96"/>
      <c r="B84" s="201"/>
      <c r="C84" s="201"/>
      <c r="D84" s="201"/>
      <c r="E84" s="201"/>
      <c r="F84" s="201"/>
      <c r="G84" s="112"/>
      <c r="H84" s="187"/>
      <c r="I84" s="214"/>
      <c r="J84" s="214"/>
      <c r="K84" s="214"/>
      <c r="L84" s="214"/>
      <c r="M84" s="214"/>
      <c r="N84" s="214"/>
      <c r="O84" s="111"/>
    </row>
    <row r="85" spans="1:19">
      <c r="A85" s="96"/>
      <c r="B85" s="201"/>
      <c r="C85" s="201"/>
      <c r="D85" s="201"/>
      <c r="E85" s="201"/>
      <c r="F85" s="201"/>
      <c r="G85" s="112"/>
      <c r="H85" s="187"/>
      <c r="I85" s="214"/>
      <c r="J85" s="214"/>
      <c r="K85" s="214"/>
      <c r="L85" s="214"/>
      <c r="M85" s="214"/>
      <c r="N85" s="214"/>
      <c r="O85" s="111"/>
    </row>
    <row r="86" spans="1:19">
      <c r="A86" s="96" t="s">
        <v>295</v>
      </c>
      <c r="B86" s="201"/>
      <c r="C86" s="201"/>
      <c r="D86" s="201"/>
      <c r="E86" s="201"/>
      <c r="F86" s="201"/>
      <c r="G86" s="112"/>
      <c r="H86" s="187"/>
      <c r="I86" s="214"/>
      <c r="J86" s="214"/>
      <c r="K86" s="214"/>
      <c r="L86" s="214"/>
      <c r="M86" s="214"/>
      <c r="N86" s="214"/>
      <c r="O86" s="111"/>
    </row>
    <row r="87" spans="1:19">
      <c r="A87" s="96"/>
      <c r="B87" s="201"/>
      <c r="C87" s="201"/>
      <c r="D87" s="201"/>
      <c r="E87" s="201"/>
      <c r="F87" s="201"/>
      <c r="G87" s="112"/>
      <c r="H87" s="187"/>
      <c r="I87" s="214"/>
      <c r="J87" s="214"/>
      <c r="K87" s="214"/>
      <c r="L87" s="214"/>
      <c r="M87" s="214"/>
      <c r="N87" s="214"/>
      <c r="O87" s="111"/>
    </row>
    <row r="88" spans="1:19">
      <c r="A88" s="96"/>
      <c r="B88" s="201"/>
      <c r="C88" s="201"/>
      <c r="D88" s="201"/>
      <c r="E88" s="201"/>
      <c r="F88" s="201"/>
      <c r="G88" s="112"/>
      <c r="H88" s="187"/>
      <c r="I88" s="214"/>
      <c r="J88" s="214"/>
      <c r="K88" s="214"/>
      <c r="L88" s="214"/>
      <c r="M88" s="214"/>
      <c r="N88" s="214"/>
      <c r="O88" s="111"/>
    </row>
    <row r="89" spans="1:19">
      <c r="A89" s="96"/>
      <c r="B89" s="201"/>
      <c r="C89" s="201"/>
      <c r="D89" s="201"/>
      <c r="E89" s="201"/>
      <c r="F89" s="201"/>
      <c r="G89" s="112"/>
      <c r="H89" s="187"/>
      <c r="I89" s="214"/>
      <c r="J89" s="214"/>
      <c r="K89" s="214"/>
      <c r="L89" s="214"/>
      <c r="M89" s="214"/>
      <c r="N89" s="214"/>
      <c r="O89" s="111"/>
    </row>
    <row r="90" spans="1:19">
      <c r="A90" s="96"/>
      <c r="B90" s="201"/>
      <c r="C90" s="201"/>
      <c r="D90" s="201"/>
      <c r="E90" s="201"/>
      <c r="F90" s="201"/>
      <c r="G90" s="112"/>
      <c r="H90" s="187"/>
      <c r="I90" s="214"/>
      <c r="J90" s="214"/>
      <c r="K90" s="214"/>
      <c r="L90" s="214"/>
      <c r="M90" s="214"/>
      <c r="N90" s="214"/>
      <c r="O90" s="111"/>
    </row>
    <row r="91" spans="1:19">
      <c r="A91" s="96"/>
      <c r="B91" s="201"/>
      <c r="C91" s="201"/>
      <c r="D91" s="201"/>
      <c r="E91" s="201"/>
      <c r="F91" s="201"/>
    </row>
    <row r="92" spans="1:19">
      <c r="A92" s="96"/>
      <c r="B92" s="201"/>
      <c r="C92" s="201"/>
      <c r="D92" s="201"/>
      <c r="E92" s="201"/>
      <c r="F92" s="201"/>
    </row>
    <row r="93" spans="1:19">
      <c r="A93" s="96"/>
      <c r="B93" s="201"/>
      <c r="C93" s="201"/>
      <c r="D93" s="201"/>
      <c r="E93" s="201"/>
      <c r="F93" s="201"/>
    </row>
    <row r="94" spans="1:19">
      <c r="A94" s="96"/>
      <c r="B94" s="201"/>
      <c r="C94" s="201"/>
      <c r="G94" s="215" t="s">
        <v>246</v>
      </c>
    </row>
    <row r="95" spans="1:19">
      <c r="A95" s="96"/>
      <c r="B95" s="201"/>
      <c r="C95" s="201"/>
      <c r="G95" s="203"/>
      <c r="H95" s="141" t="s">
        <v>247</v>
      </c>
    </row>
    <row r="96" spans="1:19">
      <c r="A96" s="96"/>
      <c r="B96" s="201"/>
      <c r="C96" s="201"/>
      <c r="G96" s="141" t="s">
        <v>245</v>
      </c>
      <c r="H96" s="79">
        <f t="shared" ref="H96:S96" si="17">H48/ABS(H33+0.000001)</f>
        <v>2.4999999875000002E-5</v>
      </c>
      <c r="I96" s="79">
        <f t="shared" si="17"/>
        <v>2.4999999875000002E-5</v>
      </c>
      <c r="J96" s="79">
        <f t="shared" si="17"/>
        <v>2.5000000125000001E-5</v>
      </c>
      <c r="K96" s="79">
        <f t="shared" si="17"/>
        <v>2.5000000125000001E-5</v>
      </c>
      <c r="L96" s="79">
        <f t="shared" si="17"/>
        <v>0</v>
      </c>
      <c r="M96" s="79">
        <f t="shared" si="17"/>
        <v>0</v>
      </c>
      <c r="N96" s="79">
        <f t="shared" si="17"/>
        <v>0</v>
      </c>
      <c r="O96" s="79">
        <f t="shared" si="17"/>
        <v>0</v>
      </c>
      <c r="P96" s="79">
        <f t="shared" si="17"/>
        <v>0</v>
      </c>
      <c r="Q96" s="79">
        <f t="shared" si="17"/>
        <v>0</v>
      </c>
      <c r="R96" s="79">
        <f t="shared" si="17"/>
        <v>0</v>
      </c>
      <c r="S96" s="79">
        <f t="shared" si="17"/>
        <v>0</v>
      </c>
    </row>
    <row r="97" spans="1:19">
      <c r="A97" s="96"/>
      <c r="B97" s="201"/>
      <c r="C97" s="201"/>
      <c r="G97" s="141" t="s">
        <v>245</v>
      </c>
      <c r="H97" s="79">
        <f t="shared" ref="H97:S97" si="18">H49/ABS(H32+0.000001)</f>
        <v>2.4999999875000002E-5</v>
      </c>
      <c r="I97" s="79">
        <f t="shared" si="18"/>
        <v>2.4999999875000002E-5</v>
      </c>
      <c r="J97" s="79">
        <f t="shared" si="18"/>
        <v>2.5000000125000001E-5</v>
      </c>
      <c r="K97" s="79">
        <f t="shared" si="18"/>
        <v>2.5000000125000001E-5</v>
      </c>
      <c r="L97" s="79">
        <f t="shared" si="18"/>
        <v>0</v>
      </c>
      <c r="M97" s="79">
        <f t="shared" si="18"/>
        <v>0</v>
      </c>
      <c r="N97" s="79">
        <f t="shared" si="18"/>
        <v>0</v>
      </c>
      <c r="O97" s="79">
        <f t="shared" si="18"/>
        <v>0</v>
      </c>
      <c r="P97" s="79">
        <f t="shared" si="18"/>
        <v>0</v>
      </c>
      <c r="Q97" s="79">
        <f t="shared" si="18"/>
        <v>0</v>
      </c>
      <c r="R97" s="79">
        <f t="shared" si="18"/>
        <v>0</v>
      </c>
      <c r="S97" s="79">
        <f t="shared" si="18"/>
        <v>0</v>
      </c>
    </row>
    <row r="98" spans="1:19">
      <c r="A98" s="96"/>
      <c r="B98" s="201"/>
      <c r="C98" s="201"/>
      <c r="G98" s="79" t="s">
        <v>243</v>
      </c>
      <c r="H98" s="216">
        <f>IF(MIN(H96,H97)&gt;1,0,MIN(H96,H97))</f>
        <v>2.4999999875000002E-5</v>
      </c>
      <c r="I98" s="216">
        <f t="shared" ref="I98:S98" si="19">IF(MIN(I96,I97)&gt;1,0,MIN(I96,I97))</f>
        <v>2.4999999875000002E-5</v>
      </c>
      <c r="J98" s="216">
        <f t="shared" si="19"/>
        <v>2.5000000125000001E-5</v>
      </c>
      <c r="K98" s="216">
        <f t="shared" si="19"/>
        <v>2.5000000125000001E-5</v>
      </c>
      <c r="L98" s="216">
        <f t="shared" si="19"/>
        <v>0</v>
      </c>
      <c r="M98" s="216">
        <f t="shared" si="19"/>
        <v>0</v>
      </c>
      <c r="N98" s="216">
        <f t="shared" si="19"/>
        <v>0</v>
      </c>
      <c r="O98" s="216">
        <f t="shared" si="19"/>
        <v>0</v>
      </c>
      <c r="P98" s="216">
        <f t="shared" si="19"/>
        <v>0</v>
      </c>
      <c r="Q98" s="216">
        <f t="shared" si="19"/>
        <v>0</v>
      </c>
      <c r="R98" s="216">
        <f t="shared" si="19"/>
        <v>0</v>
      </c>
      <c r="S98" s="216">
        <f t="shared" si="19"/>
        <v>0</v>
      </c>
    </row>
    <row r="99" spans="1:19">
      <c r="A99" s="96"/>
      <c r="B99" s="201"/>
      <c r="C99" s="201"/>
      <c r="H99" s="141" t="s">
        <v>248</v>
      </c>
      <c r="I99" s="141"/>
      <c r="J99" s="141"/>
      <c r="K99" s="141"/>
      <c r="L99" s="141"/>
      <c r="M99" s="141"/>
      <c r="N99" s="141"/>
      <c r="O99" s="141"/>
      <c r="P99" s="141"/>
      <c r="Q99" s="141"/>
      <c r="R99" s="141"/>
      <c r="S99" s="141"/>
    </row>
    <row r="100" spans="1:19">
      <c r="A100" s="96"/>
      <c r="B100" s="201"/>
      <c r="C100" s="201"/>
      <c r="G100" s="108" t="s">
        <v>245</v>
      </c>
      <c r="H100" s="146">
        <f t="shared" ref="H100:S100" si="20">H49/ABS(H31+0.000001)</f>
        <v>5000</v>
      </c>
      <c r="I100" s="146">
        <f t="shared" si="20"/>
        <v>5000</v>
      </c>
      <c r="J100" s="146">
        <f t="shared" si="20"/>
        <v>5000</v>
      </c>
      <c r="K100" s="146">
        <f t="shared" si="20"/>
        <v>5000</v>
      </c>
      <c r="L100" s="146">
        <f t="shared" si="20"/>
        <v>0</v>
      </c>
      <c r="M100" s="146">
        <f t="shared" si="20"/>
        <v>0</v>
      </c>
      <c r="N100" s="146">
        <f t="shared" si="20"/>
        <v>0</v>
      </c>
      <c r="O100" s="146">
        <f t="shared" si="20"/>
        <v>0</v>
      </c>
      <c r="P100" s="146">
        <f t="shared" si="20"/>
        <v>0</v>
      </c>
      <c r="Q100" s="146">
        <f t="shared" si="20"/>
        <v>0</v>
      </c>
      <c r="R100" s="146">
        <f t="shared" si="20"/>
        <v>0</v>
      </c>
      <c r="S100" s="146">
        <f t="shared" si="20"/>
        <v>0</v>
      </c>
    </row>
    <row r="101" spans="1:19">
      <c r="A101" s="96"/>
      <c r="B101" s="201"/>
      <c r="C101" s="201"/>
      <c r="G101" s="108" t="s">
        <v>245</v>
      </c>
      <c r="H101" s="217">
        <f t="shared" ref="H101:S101" si="21">H47/ABS(H33+0.000001)</f>
        <v>2.4999999875000002E-5</v>
      </c>
      <c r="I101" s="217">
        <f t="shared" si="21"/>
        <v>2.4999999875000002E-5</v>
      </c>
      <c r="J101" s="217">
        <f t="shared" si="21"/>
        <v>2.5000000125000001E-5</v>
      </c>
      <c r="K101" s="217">
        <f t="shared" si="21"/>
        <v>2.5000000125000001E-5</v>
      </c>
      <c r="L101" s="217">
        <f t="shared" si="21"/>
        <v>0</v>
      </c>
      <c r="M101" s="217">
        <f t="shared" si="21"/>
        <v>0</v>
      </c>
      <c r="N101" s="217">
        <f t="shared" si="21"/>
        <v>0</v>
      </c>
      <c r="O101" s="217">
        <f t="shared" si="21"/>
        <v>0</v>
      </c>
      <c r="P101" s="217">
        <f t="shared" si="21"/>
        <v>0</v>
      </c>
      <c r="Q101" s="217">
        <f t="shared" si="21"/>
        <v>0</v>
      </c>
      <c r="R101" s="217">
        <f t="shared" si="21"/>
        <v>0</v>
      </c>
      <c r="S101" s="217">
        <f t="shared" si="21"/>
        <v>0</v>
      </c>
    </row>
    <row r="102" spans="1:19">
      <c r="A102" s="96"/>
      <c r="B102" s="201"/>
      <c r="C102" s="201"/>
      <c r="G102" s="79" t="s">
        <v>243</v>
      </c>
      <c r="H102" s="216">
        <f>IF(MIN(H100,H101)&gt;1,0,MIN(H100,H101))</f>
        <v>2.4999999875000002E-5</v>
      </c>
      <c r="I102" s="216">
        <f t="shared" ref="I102:S102" si="22">IF(MIN(I100,I101)&gt;1,0,MIN(I100,I101))</f>
        <v>2.4999999875000002E-5</v>
      </c>
      <c r="J102" s="216">
        <f t="shared" si="22"/>
        <v>2.5000000125000001E-5</v>
      </c>
      <c r="K102" s="216">
        <f t="shared" si="22"/>
        <v>2.5000000125000001E-5</v>
      </c>
      <c r="L102" s="216">
        <f t="shared" si="22"/>
        <v>0</v>
      </c>
      <c r="M102" s="216">
        <f t="shared" si="22"/>
        <v>0</v>
      </c>
      <c r="N102" s="216">
        <f t="shared" si="22"/>
        <v>0</v>
      </c>
      <c r="O102" s="216">
        <f t="shared" si="22"/>
        <v>0</v>
      </c>
      <c r="P102" s="216">
        <f t="shared" si="22"/>
        <v>0</v>
      </c>
      <c r="Q102" s="216">
        <f t="shared" si="22"/>
        <v>0</v>
      </c>
      <c r="R102" s="216">
        <f t="shared" si="22"/>
        <v>0</v>
      </c>
      <c r="S102" s="216">
        <f t="shared" si="22"/>
        <v>0</v>
      </c>
    </row>
    <row r="103" spans="1:19">
      <c r="A103" s="96"/>
      <c r="B103" s="201"/>
      <c r="C103" s="201"/>
      <c r="H103" s="79" t="s">
        <v>249</v>
      </c>
    </row>
    <row r="104" spans="1:19">
      <c r="A104" s="96"/>
      <c r="B104" s="201"/>
      <c r="C104" s="201"/>
      <c r="G104" s="141" t="s">
        <v>245</v>
      </c>
      <c r="H104" s="79">
        <f t="shared" ref="H104:S104" si="23">H48/ABS(H31+0.000001)</f>
        <v>5000</v>
      </c>
      <c r="I104" s="79">
        <f t="shared" si="23"/>
        <v>5000</v>
      </c>
      <c r="J104" s="79">
        <f t="shared" si="23"/>
        <v>5000</v>
      </c>
      <c r="K104" s="79">
        <f t="shared" si="23"/>
        <v>5000</v>
      </c>
      <c r="L104" s="79">
        <f t="shared" si="23"/>
        <v>0</v>
      </c>
      <c r="M104" s="79">
        <f t="shared" si="23"/>
        <v>0</v>
      </c>
      <c r="N104" s="79">
        <f t="shared" si="23"/>
        <v>0</v>
      </c>
      <c r="O104" s="79">
        <f t="shared" si="23"/>
        <v>0</v>
      </c>
      <c r="P104" s="79">
        <f t="shared" si="23"/>
        <v>0</v>
      </c>
      <c r="Q104" s="79">
        <f t="shared" si="23"/>
        <v>0</v>
      </c>
      <c r="R104" s="79">
        <f t="shared" si="23"/>
        <v>0</v>
      </c>
      <c r="S104" s="79">
        <f t="shared" si="23"/>
        <v>0</v>
      </c>
    </row>
    <row r="105" spans="1:19">
      <c r="A105" s="96"/>
      <c r="B105" s="201"/>
      <c r="C105" s="201"/>
      <c r="G105" s="141" t="s">
        <v>245</v>
      </c>
      <c r="H105" s="79">
        <f t="shared" ref="H105:S105" si="24">H47/ABS(H32+0.000001)</f>
        <v>2.4999999875000002E-5</v>
      </c>
      <c r="I105" s="79">
        <f t="shared" si="24"/>
        <v>2.4999999875000002E-5</v>
      </c>
      <c r="J105" s="79">
        <f t="shared" si="24"/>
        <v>2.5000000125000001E-5</v>
      </c>
      <c r="K105" s="79">
        <f t="shared" si="24"/>
        <v>2.5000000125000001E-5</v>
      </c>
      <c r="L105" s="79">
        <f t="shared" si="24"/>
        <v>0</v>
      </c>
      <c r="M105" s="79">
        <f t="shared" si="24"/>
        <v>0</v>
      </c>
      <c r="N105" s="79">
        <f t="shared" si="24"/>
        <v>0</v>
      </c>
      <c r="O105" s="79">
        <f t="shared" si="24"/>
        <v>0</v>
      </c>
      <c r="P105" s="79">
        <f t="shared" si="24"/>
        <v>0</v>
      </c>
      <c r="Q105" s="79">
        <f t="shared" si="24"/>
        <v>0</v>
      </c>
      <c r="R105" s="79">
        <f t="shared" si="24"/>
        <v>0</v>
      </c>
      <c r="S105" s="79">
        <f t="shared" si="24"/>
        <v>0</v>
      </c>
    </row>
    <row r="106" spans="1:19">
      <c r="A106" s="96"/>
      <c r="B106" s="201"/>
      <c r="C106" s="201"/>
      <c r="G106" s="79" t="s">
        <v>243</v>
      </c>
      <c r="H106" s="216">
        <f>IF(MIN(H104,H105)&gt;1,0,MIN(H104,H105))</f>
        <v>2.4999999875000002E-5</v>
      </c>
      <c r="I106" s="216">
        <f t="shared" ref="I106:S106" si="25">IF(MIN(I104,I105)&gt;1,0,MIN(I104,I105))</f>
        <v>2.4999999875000002E-5</v>
      </c>
      <c r="J106" s="216">
        <f t="shared" si="25"/>
        <v>2.5000000125000001E-5</v>
      </c>
      <c r="K106" s="216">
        <f t="shared" si="25"/>
        <v>2.5000000125000001E-5</v>
      </c>
      <c r="L106" s="216">
        <f t="shared" si="25"/>
        <v>0</v>
      </c>
      <c r="M106" s="216">
        <f t="shared" si="25"/>
        <v>0</v>
      </c>
      <c r="N106" s="216">
        <f t="shared" si="25"/>
        <v>0</v>
      </c>
      <c r="O106" s="216">
        <f t="shared" si="25"/>
        <v>0</v>
      </c>
      <c r="P106" s="216">
        <f t="shared" si="25"/>
        <v>0</v>
      </c>
      <c r="Q106" s="216">
        <f t="shared" si="25"/>
        <v>0</v>
      </c>
      <c r="R106" s="216">
        <f t="shared" si="25"/>
        <v>0</v>
      </c>
      <c r="S106" s="216">
        <f t="shared" si="25"/>
        <v>0</v>
      </c>
    </row>
    <row r="107" spans="1:19">
      <c r="A107" s="96"/>
      <c r="B107" s="201"/>
      <c r="C107" s="201"/>
    </row>
    <row r="108" spans="1:19">
      <c r="A108" s="96"/>
      <c r="B108" s="201"/>
      <c r="C108" s="201"/>
      <c r="G108" s="215" t="s">
        <v>294</v>
      </c>
      <c r="H108" s="215"/>
      <c r="I108" s="215"/>
      <c r="J108" s="215"/>
      <c r="K108" s="215"/>
      <c r="L108" s="215"/>
      <c r="M108" s="215"/>
      <c r="N108" s="215"/>
      <c r="O108" s="215"/>
      <c r="P108" s="215"/>
    </row>
    <row r="109" spans="1:19">
      <c r="A109" s="96"/>
      <c r="B109" s="201"/>
      <c r="C109" s="201"/>
      <c r="H109" s="96" t="s">
        <v>240</v>
      </c>
      <c r="I109" s="96"/>
      <c r="J109" s="96"/>
      <c r="K109" s="96"/>
      <c r="L109" s="96"/>
      <c r="M109" s="96"/>
      <c r="N109" s="96"/>
      <c r="O109" s="96"/>
      <c r="P109" s="96"/>
      <c r="Q109" s="96"/>
      <c r="R109" s="96"/>
      <c r="S109" s="96"/>
    </row>
    <row r="110" spans="1:19">
      <c r="A110" s="96"/>
      <c r="B110" s="201"/>
      <c r="C110" s="201"/>
      <c r="G110" s="141" t="s">
        <v>245</v>
      </c>
      <c r="H110" s="216">
        <f t="shared" ref="H110:S110" si="26">H56/(H33+0.000001)</f>
        <v>2.4999999875000001E-4</v>
      </c>
      <c r="I110" s="216">
        <f t="shared" si="26"/>
        <v>2.4999999875000001E-4</v>
      </c>
      <c r="J110" s="216">
        <f t="shared" si="26"/>
        <v>-2.5000000125E-4</v>
      </c>
      <c r="K110" s="216">
        <f t="shared" si="26"/>
        <v>-2.5000000125E-4</v>
      </c>
      <c r="L110" s="216">
        <f t="shared" si="26"/>
        <v>0</v>
      </c>
      <c r="M110" s="216">
        <f t="shared" si="26"/>
        <v>0</v>
      </c>
      <c r="N110" s="216">
        <f t="shared" si="26"/>
        <v>0</v>
      </c>
      <c r="O110" s="216">
        <f t="shared" si="26"/>
        <v>0</v>
      </c>
      <c r="P110" s="216">
        <f t="shared" si="26"/>
        <v>0</v>
      </c>
      <c r="Q110" s="216">
        <f t="shared" si="26"/>
        <v>0</v>
      </c>
      <c r="R110" s="216">
        <f t="shared" si="26"/>
        <v>0</v>
      </c>
      <c r="S110" s="216">
        <f t="shared" si="26"/>
        <v>0</v>
      </c>
    </row>
    <row r="111" spans="1:19">
      <c r="A111" s="96"/>
      <c r="B111" s="201"/>
      <c r="C111" s="201"/>
      <c r="G111" s="141" t="s">
        <v>245</v>
      </c>
      <c r="H111" s="218">
        <f t="shared" ref="H111:S111" si="27">H57/(H32+0.000001)</f>
        <v>2.4999999875000001E-4</v>
      </c>
      <c r="I111" s="218">
        <f t="shared" si="27"/>
        <v>2.4999999875000001E-4</v>
      </c>
      <c r="J111" s="218">
        <f t="shared" si="27"/>
        <v>-2.5000000125E-4</v>
      </c>
      <c r="K111" s="218">
        <f t="shared" si="27"/>
        <v>-2.5000000125E-4</v>
      </c>
      <c r="L111" s="218">
        <f t="shared" si="27"/>
        <v>0</v>
      </c>
      <c r="M111" s="218">
        <f t="shared" si="27"/>
        <v>0</v>
      </c>
      <c r="N111" s="218">
        <f t="shared" si="27"/>
        <v>0</v>
      </c>
      <c r="O111" s="218">
        <f t="shared" si="27"/>
        <v>0</v>
      </c>
      <c r="P111" s="218">
        <f t="shared" si="27"/>
        <v>0</v>
      </c>
      <c r="Q111" s="218">
        <f t="shared" si="27"/>
        <v>0</v>
      </c>
      <c r="R111" s="218">
        <f t="shared" si="27"/>
        <v>0</v>
      </c>
      <c r="S111" s="218">
        <f t="shared" si="27"/>
        <v>0</v>
      </c>
    </row>
    <row r="112" spans="1:19">
      <c r="G112" s="79" t="s">
        <v>244</v>
      </c>
      <c r="H112" s="136">
        <f>SIGN(H110+0.000000000001)*SIGN(H111+0.000000000001)</f>
        <v>1</v>
      </c>
      <c r="I112" s="136">
        <f t="shared" ref="I112:S112" si="28">SIGN(I110+0.000000000001)*SIGN(I111+0.000000000001)</f>
        <v>1</v>
      </c>
      <c r="J112" s="136">
        <f t="shared" si="28"/>
        <v>1</v>
      </c>
      <c r="K112" s="136">
        <f t="shared" si="28"/>
        <v>1</v>
      </c>
      <c r="L112" s="136">
        <f t="shared" si="28"/>
        <v>1</v>
      </c>
      <c r="M112" s="136">
        <f t="shared" si="28"/>
        <v>1</v>
      </c>
      <c r="N112" s="136">
        <f t="shared" si="28"/>
        <v>1</v>
      </c>
      <c r="O112" s="136">
        <f t="shared" si="28"/>
        <v>1</v>
      </c>
      <c r="P112" s="136">
        <f t="shared" si="28"/>
        <v>1</v>
      </c>
      <c r="Q112" s="136">
        <f t="shared" si="28"/>
        <v>1</v>
      </c>
      <c r="R112" s="136">
        <f t="shared" si="28"/>
        <v>1</v>
      </c>
      <c r="S112" s="136">
        <f t="shared" si="28"/>
        <v>1</v>
      </c>
    </row>
    <row r="113" spans="7:19">
      <c r="G113" s="79" t="s">
        <v>243</v>
      </c>
      <c r="H113" s="216">
        <f>IF(H112*MIN(ABS(H110),ABS(H111))&gt;1,0,H112*MIN(ABS(H110),ABS(H111)))</f>
        <v>2.4999999875000001E-4</v>
      </c>
      <c r="I113" s="216">
        <f t="shared" ref="I113:S113" si="29">IF(I112*MIN(ABS(I110),ABS(I111))&gt;1,0,I112*MIN(ABS(I110),ABS(I111)))</f>
        <v>2.4999999875000001E-4</v>
      </c>
      <c r="J113" s="216">
        <f t="shared" si="29"/>
        <v>2.5000000125E-4</v>
      </c>
      <c r="K113" s="216">
        <f t="shared" si="29"/>
        <v>2.5000000125E-4</v>
      </c>
      <c r="L113" s="216">
        <f t="shared" si="29"/>
        <v>0</v>
      </c>
      <c r="M113" s="216">
        <f t="shared" si="29"/>
        <v>0</v>
      </c>
      <c r="N113" s="216">
        <f t="shared" si="29"/>
        <v>0</v>
      </c>
      <c r="O113" s="216">
        <f t="shared" si="29"/>
        <v>0</v>
      </c>
      <c r="P113" s="216">
        <f t="shared" si="29"/>
        <v>0</v>
      </c>
      <c r="Q113" s="216">
        <f t="shared" si="29"/>
        <v>0</v>
      </c>
      <c r="R113" s="216">
        <f t="shared" si="29"/>
        <v>0</v>
      </c>
      <c r="S113" s="216">
        <f t="shared" si="29"/>
        <v>0</v>
      </c>
    </row>
    <row r="114" spans="7:19">
      <c r="H114" s="96" t="s">
        <v>241</v>
      </c>
      <c r="I114" s="96"/>
      <c r="J114" s="96"/>
      <c r="K114" s="96"/>
      <c r="L114" s="96"/>
      <c r="M114" s="96"/>
      <c r="N114" s="96"/>
      <c r="O114" s="96"/>
      <c r="P114" s="96"/>
      <c r="Q114" s="96"/>
      <c r="R114" s="96"/>
      <c r="S114" s="96"/>
    </row>
    <row r="115" spans="7:19">
      <c r="G115" s="108" t="s">
        <v>245</v>
      </c>
      <c r="H115" s="146">
        <f t="shared" ref="H115:S115" si="30">-H57/(H31+0.000001)</f>
        <v>-50000.000000000007</v>
      </c>
      <c r="I115" s="146">
        <f t="shared" si="30"/>
        <v>-50000.000000000007</v>
      </c>
      <c r="J115" s="146">
        <f t="shared" si="30"/>
        <v>-50000.000000000007</v>
      </c>
      <c r="K115" s="146">
        <f t="shared" si="30"/>
        <v>-50000.000000000007</v>
      </c>
      <c r="L115" s="146">
        <f t="shared" si="30"/>
        <v>0</v>
      </c>
      <c r="M115" s="146">
        <f t="shared" si="30"/>
        <v>0</v>
      </c>
      <c r="N115" s="146">
        <f t="shared" si="30"/>
        <v>0</v>
      </c>
      <c r="O115" s="146">
        <f t="shared" si="30"/>
        <v>0</v>
      </c>
      <c r="P115" s="146">
        <f t="shared" si="30"/>
        <v>0</v>
      </c>
      <c r="Q115" s="146">
        <f t="shared" si="30"/>
        <v>0</v>
      </c>
      <c r="R115" s="146">
        <f t="shared" si="30"/>
        <v>0</v>
      </c>
      <c r="S115" s="146">
        <f t="shared" si="30"/>
        <v>0</v>
      </c>
    </row>
    <row r="116" spans="7:19">
      <c r="G116" s="108" t="s">
        <v>245</v>
      </c>
      <c r="H116" s="146">
        <f t="shared" ref="H116:S116" si="31">H55/(H33+0.000001)</f>
        <v>2.4999999875000001E-4</v>
      </c>
      <c r="I116" s="146">
        <f t="shared" si="31"/>
        <v>2.4999999875000001E-4</v>
      </c>
      <c r="J116" s="146">
        <f t="shared" si="31"/>
        <v>-2.5000000125E-4</v>
      </c>
      <c r="K116" s="146">
        <f t="shared" si="31"/>
        <v>-2.5000000125E-4</v>
      </c>
      <c r="L116" s="146">
        <f t="shared" si="31"/>
        <v>0</v>
      </c>
      <c r="M116" s="146">
        <f t="shared" si="31"/>
        <v>0</v>
      </c>
      <c r="N116" s="146">
        <f t="shared" si="31"/>
        <v>0</v>
      </c>
      <c r="O116" s="146">
        <f t="shared" si="31"/>
        <v>0</v>
      </c>
      <c r="P116" s="146">
        <f t="shared" si="31"/>
        <v>0</v>
      </c>
      <c r="Q116" s="146">
        <f t="shared" si="31"/>
        <v>0</v>
      </c>
      <c r="R116" s="146">
        <f t="shared" si="31"/>
        <v>0</v>
      </c>
      <c r="S116" s="146">
        <f t="shared" si="31"/>
        <v>0</v>
      </c>
    </row>
    <row r="117" spans="7:19">
      <c r="G117" s="146" t="s">
        <v>244</v>
      </c>
      <c r="H117" s="219">
        <f>SIGN(H115+0.000000000001)*SIGN(H116+0.000000000001)</f>
        <v>-1</v>
      </c>
      <c r="I117" s="219">
        <f t="shared" ref="I117:S117" si="32">SIGN(I115+0.000000000001)*SIGN(I116+0.000000000001)</f>
        <v>-1</v>
      </c>
      <c r="J117" s="219">
        <f t="shared" si="32"/>
        <v>1</v>
      </c>
      <c r="K117" s="219">
        <f t="shared" si="32"/>
        <v>1</v>
      </c>
      <c r="L117" s="219">
        <f t="shared" si="32"/>
        <v>1</v>
      </c>
      <c r="M117" s="219">
        <f t="shared" si="32"/>
        <v>1</v>
      </c>
      <c r="N117" s="219">
        <f t="shared" si="32"/>
        <v>1</v>
      </c>
      <c r="O117" s="219">
        <f t="shared" si="32"/>
        <v>1</v>
      </c>
      <c r="P117" s="219">
        <f t="shared" si="32"/>
        <v>1</v>
      </c>
      <c r="Q117" s="219">
        <f t="shared" si="32"/>
        <v>1</v>
      </c>
      <c r="R117" s="219">
        <f t="shared" si="32"/>
        <v>1</v>
      </c>
      <c r="S117" s="219">
        <f t="shared" si="32"/>
        <v>1</v>
      </c>
    </row>
    <row r="118" spans="7:19">
      <c r="G118" s="146" t="s">
        <v>243</v>
      </c>
      <c r="H118" s="220">
        <f>IF(H117*MIN(ABS(H115),ABS(H116))&gt;1,0,H117*MIN(ABS(H115),ABS(H116)))</f>
        <v>-2.4999999875000001E-4</v>
      </c>
      <c r="I118" s="220">
        <f t="shared" ref="I118:S118" si="33">IF(I117*MIN(ABS(I115),ABS(I116))&gt;1,0,I117*MIN(ABS(I115),ABS(I116)))</f>
        <v>-2.4999999875000001E-4</v>
      </c>
      <c r="J118" s="220">
        <f t="shared" si="33"/>
        <v>2.5000000125E-4</v>
      </c>
      <c r="K118" s="220">
        <f t="shared" si="33"/>
        <v>2.5000000125E-4</v>
      </c>
      <c r="L118" s="220">
        <f t="shared" si="33"/>
        <v>0</v>
      </c>
      <c r="M118" s="220">
        <f t="shared" si="33"/>
        <v>0</v>
      </c>
      <c r="N118" s="220">
        <f t="shared" si="33"/>
        <v>0</v>
      </c>
      <c r="O118" s="220">
        <f t="shared" si="33"/>
        <v>0</v>
      </c>
      <c r="P118" s="220">
        <f t="shared" si="33"/>
        <v>0</v>
      </c>
      <c r="Q118" s="220">
        <f t="shared" si="33"/>
        <v>0</v>
      </c>
      <c r="R118" s="220">
        <f t="shared" si="33"/>
        <v>0</v>
      </c>
      <c r="S118" s="220">
        <f t="shared" si="33"/>
        <v>0</v>
      </c>
    </row>
    <row r="119" spans="7:19">
      <c r="H119" s="96" t="s">
        <v>242</v>
      </c>
      <c r="I119" s="96"/>
      <c r="J119" s="96"/>
      <c r="K119" s="96"/>
      <c r="L119" s="96"/>
      <c r="M119" s="96"/>
      <c r="N119" s="96"/>
      <c r="O119" s="96"/>
      <c r="P119" s="96"/>
      <c r="Q119" s="96"/>
      <c r="R119" s="96"/>
      <c r="S119" s="96"/>
    </row>
    <row r="120" spans="7:19">
      <c r="G120" s="141" t="s">
        <v>245</v>
      </c>
      <c r="H120" s="216">
        <f t="shared" ref="H120:S120" si="34">H56/(H31+0.000001)</f>
        <v>50000.000000000007</v>
      </c>
      <c r="I120" s="216">
        <f t="shared" si="34"/>
        <v>50000.000000000007</v>
      </c>
      <c r="J120" s="216">
        <f t="shared" si="34"/>
        <v>50000.000000000007</v>
      </c>
      <c r="K120" s="216">
        <f t="shared" si="34"/>
        <v>50000.000000000007</v>
      </c>
      <c r="L120" s="216">
        <f t="shared" si="34"/>
        <v>0</v>
      </c>
      <c r="M120" s="216">
        <f t="shared" si="34"/>
        <v>0</v>
      </c>
      <c r="N120" s="216">
        <f t="shared" si="34"/>
        <v>0</v>
      </c>
      <c r="O120" s="216">
        <f t="shared" si="34"/>
        <v>0</v>
      </c>
      <c r="P120" s="216">
        <f t="shared" si="34"/>
        <v>0</v>
      </c>
      <c r="Q120" s="216">
        <f t="shared" si="34"/>
        <v>0</v>
      </c>
      <c r="R120" s="216">
        <f t="shared" si="34"/>
        <v>0</v>
      </c>
      <c r="S120" s="216">
        <f t="shared" si="34"/>
        <v>0</v>
      </c>
    </row>
    <row r="121" spans="7:19">
      <c r="G121" s="141" t="s">
        <v>245</v>
      </c>
      <c r="H121" s="79">
        <f t="shared" ref="H121:S121" si="35">H55/(H32+0.000001)</f>
        <v>2.4999999875000001E-4</v>
      </c>
      <c r="I121" s="79">
        <f t="shared" si="35"/>
        <v>2.4999999875000001E-4</v>
      </c>
      <c r="J121" s="79">
        <f t="shared" si="35"/>
        <v>-2.5000000125E-4</v>
      </c>
      <c r="K121" s="79">
        <f t="shared" si="35"/>
        <v>-2.5000000125E-4</v>
      </c>
      <c r="L121" s="79">
        <f t="shared" si="35"/>
        <v>0</v>
      </c>
      <c r="M121" s="79">
        <f t="shared" si="35"/>
        <v>0</v>
      </c>
      <c r="N121" s="79">
        <f t="shared" si="35"/>
        <v>0</v>
      </c>
      <c r="O121" s="79">
        <f t="shared" si="35"/>
        <v>0</v>
      </c>
      <c r="P121" s="79">
        <f t="shared" si="35"/>
        <v>0</v>
      </c>
      <c r="Q121" s="79">
        <f t="shared" si="35"/>
        <v>0</v>
      </c>
      <c r="R121" s="79">
        <f t="shared" si="35"/>
        <v>0</v>
      </c>
      <c r="S121" s="79">
        <f t="shared" si="35"/>
        <v>0</v>
      </c>
    </row>
    <row r="122" spans="7:19">
      <c r="G122" s="79" t="s">
        <v>244</v>
      </c>
      <c r="H122" s="136">
        <f>SIGN(H120+0.000000000001)*SIGN(H121+0.000000000001)</f>
        <v>1</v>
      </c>
      <c r="I122" s="136">
        <f t="shared" ref="I122:S122" si="36">SIGN(I120+0.000000000001)*SIGN(I121+0.000000000001)</f>
        <v>1</v>
      </c>
      <c r="J122" s="136">
        <f t="shared" si="36"/>
        <v>-1</v>
      </c>
      <c r="K122" s="136">
        <f t="shared" si="36"/>
        <v>-1</v>
      </c>
      <c r="L122" s="136">
        <f t="shared" si="36"/>
        <v>1</v>
      </c>
      <c r="M122" s="136">
        <f t="shared" si="36"/>
        <v>1</v>
      </c>
      <c r="N122" s="136">
        <f t="shared" si="36"/>
        <v>1</v>
      </c>
      <c r="O122" s="136">
        <f t="shared" si="36"/>
        <v>1</v>
      </c>
      <c r="P122" s="136">
        <f t="shared" si="36"/>
        <v>1</v>
      </c>
      <c r="Q122" s="136">
        <f t="shared" si="36"/>
        <v>1</v>
      </c>
      <c r="R122" s="136">
        <f t="shared" si="36"/>
        <v>1</v>
      </c>
      <c r="S122" s="136">
        <f t="shared" si="36"/>
        <v>1</v>
      </c>
    </row>
    <row r="123" spans="7:19">
      <c r="G123" s="79" t="s">
        <v>243</v>
      </c>
      <c r="H123" s="216">
        <f>IF(H122*MIN(ABS(H120),ABS(H121))&gt;1,0,H122*MIN(ABS(H120),ABS(H121)))</f>
        <v>2.4999999875000001E-4</v>
      </c>
      <c r="I123" s="216">
        <f t="shared" ref="I123:S123" si="37">IF(I122*MIN(ABS(I120),ABS(I121))&gt;1,0,I122*MIN(ABS(I120),ABS(I121)))</f>
        <v>2.4999999875000001E-4</v>
      </c>
      <c r="J123" s="216">
        <f t="shared" si="37"/>
        <v>-2.5000000125E-4</v>
      </c>
      <c r="K123" s="216">
        <f t="shared" si="37"/>
        <v>-2.5000000125E-4</v>
      </c>
      <c r="L123" s="216">
        <f t="shared" si="37"/>
        <v>0</v>
      </c>
      <c r="M123" s="216">
        <f t="shared" si="37"/>
        <v>0</v>
      </c>
      <c r="N123" s="216">
        <f t="shared" si="37"/>
        <v>0</v>
      </c>
      <c r="O123" s="216">
        <f t="shared" si="37"/>
        <v>0</v>
      </c>
      <c r="P123" s="216">
        <f t="shared" si="37"/>
        <v>0</v>
      </c>
      <c r="Q123" s="216">
        <f t="shared" si="37"/>
        <v>0</v>
      </c>
      <c r="R123" s="216">
        <f t="shared" si="37"/>
        <v>0</v>
      </c>
      <c r="S123" s="216">
        <f t="shared" si="37"/>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8">
    <mergeCell ref="B1:C1"/>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35"/>
  <sheetViews>
    <sheetView topLeftCell="C43" zoomScale="208" zoomScaleNormal="208" zoomScalePageLayoutView="200" workbookViewId="0">
      <selection activeCell="D45" sqref="C45:D62"/>
    </sheetView>
  </sheetViews>
  <sheetFormatPr baseColWidth="10" defaultColWidth="11" defaultRowHeight="16"/>
  <cols>
    <col min="1" max="1" width="45.33203125" style="79" customWidth="1"/>
    <col min="2" max="2" width="16.83203125" style="79" customWidth="1"/>
    <col min="3" max="3" width="38" style="79" customWidth="1"/>
    <col min="4" max="4" width="10.6640625" style="79" customWidth="1"/>
    <col min="5" max="6" width="7.1640625" style="79" customWidth="1"/>
    <col min="7" max="12" width="9.6640625" style="79" customWidth="1"/>
    <col min="13" max="16384" width="11" style="79"/>
  </cols>
  <sheetData>
    <row r="1" spans="1:18">
      <c r="A1" s="197" t="str">
        <f>'CSs and Loads'!A45</f>
        <v>CS 2</v>
      </c>
      <c r="B1" s="197" t="str">
        <f>'CSs and Loads'!A55</f>
        <v>Y-axis carriage</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154" t="s">
        <v>305</v>
      </c>
      <c r="B4" s="172" t="s">
        <v>319</v>
      </c>
      <c r="C4" s="80" t="s">
        <v>355</v>
      </c>
      <c r="D4" s="161"/>
      <c r="E4" s="375" t="s">
        <v>352</v>
      </c>
      <c r="F4" s="376"/>
      <c r="G4" s="376"/>
      <c r="H4" s="376"/>
      <c r="I4" s="376"/>
      <c r="J4" s="376"/>
      <c r="K4" s="376"/>
      <c r="L4" s="376"/>
      <c r="M4" s="377"/>
      <c r="N4" s="175"/>
    </row>
    <row r="5" spans="1:18">
      <c r="A5" s="153" t="s">
        <v>325</v>
      </c>
      <c r="B5" s="172" t="s">
        <v>326</v>
      </c>
      <c r="C5" s="96" t="s">
        <v>367</v>
      </c>
      <c r="D5" s="161">
        <v>75</v>
      </c>
      <c r="E5" s="176" t="s">
        <v>268</v>
      </c>
      <c r="F5" s="393" t="s">
        <v>271</v>
      </c>
      <c r="G5" s="149">
        <f>(B11^2/(3*B7*B17*B12))*(B12^2-2*B11*B12+B11^2)</f>
        <v>0</v>
      </c>
      <c r="H5" s="79">
        <v>0</v>
      </c>
      <c r="I5" s="79">
        <v>0</v>
      </c>
      <c r="J5" s="79">
        <v>0</v>
      </c>
      <c r="K5" s="191">
        <f>-(B11/(3*B7*B17*B12))*(3*B11*B12-B12^2-2*B11^2)</f>
        <v>0</v>
      </c>
      <c r="L5" s="189"/>
      <c r="M5" s="177" t="s">
        <v>262</v>
      </c>
      <c r="N5" s="175"/>
    </row>
    <row r="6" spans="1:18">
      <c r="A6" s="153" t="s">
        <v>328</v>
      </c>
      <c r="B6" s="171" t="s">
        <v>320</v>
      </c>
      <c r="C6" s="96" t="s">
        <v>32</v>
      </c>
      <c r="D6" s="161">
        <v>20000</v>
      </c>
      <c r="E6" s="176" t="s">
        <v>269</v>
      </c>
      <c r="F6" s="394"/>
      <c r="G6" s="79">
        <v>0</v>
      </c>
      <c r="H6" s="150">
        <f>(B11^2/(3*B7*B18*B12))*(B12^2-2*B11*B12+B11^2)</f>
        <v>0</v>
      </c>
      <c r="I6" s="79">
        <v>0</v>
      </c>
      <c r="J6" s="191">
        <f>(B11/(3*B7*B17*B12))*(3*B11*B12-B12^2-2*B11^2)</f>
        <v>0</v>
      </c>
      <c r="K6" s="145">
        <v>0</v>
      </c>
      <c r="L6" s="79">
        <v>0</v>
      </c>
      <c r="M6" s="177" t="s">
        <v>263</v>
      </c>
      <c r="N6" s="175"/>
    </row>
    <row r="7" spans="1:18">
      <c r="A7" s="96" t="s">
        <v>277</v>
      </c>
      <c r="B7" s="286">
        <v>200000</v>
      </c>
      <c r="C7" s="96" t="s">
        <v>230</v>
      </c>
      <c r="D7" s="161">
        <f>500*1000</f>
        <v>500000</v>
      </c>
      <c r="E7" s="176" t="s">
        <v>270</v>
      </c>
      <c r="F7" s="394"/>
      <c r="G7" s="79">
        <v>0</v>
      </c>
      <c r="H7" s="79">
        <v>0</v>
      </c>
      <c r="I7" s="150">
        <f>B11/(B16*B7)</f>
        <v>9.9861925077267659E-7</v>
      </c>
      <c r="J7" s="192">
        <v>0</v>
      </c>
      <c r="K7" s="93"/>
      <c r="L7" s="79">
        <v>0</v>
      </c>
      <c r="M7" s="177" t="s">
        <v>264</v>
      </c>
      <c r="N7" s="175"/>
    </row>
    <row r="8" spans="1:18">
      <c r="A8" s="96" t="s">
        <v>273</v>
      </c>
      <c r="B8" s="161">
        <v>0.28999999999999998</v>
      </c>
      <c r="C8" s="96" t="s">
        <v>33</v>
      </c>
      <c r="D8" s="161">
        <v>3</v>
      </c>
      <c r="E8" s="176" t="s">
        <v>259</v>
      </c>
      <c r="F8" s="394"/>
      <c r="G8" s="79">
        <v>0</v>
      </c>
      <c r="H8" s="191">
        <f>J6</f>
        <v>0</v>
      </c>
      <c r="I8" s="192">
        <v>0</v>
      </c>
      <c r="J8" s="150">
        <f>(1/(3*B7*B18*B12))*(2*B12^2+3*B11^2-3*B11*B12)</f>
        <v>2.8595808523244429E-9</v>
      </c>
      <c r="K8" s="79">
        <v>0</v>
      </c>
      <c r="L8" s="79">
        <v>0</v>
      </c>
      <c r="M8" s="177" t="s">
        <v>265</v>
      </c>
      <c r="N8" s="175"/>
    </row>
    <row r="9" spans="1:18">
      <c r="A9" s="96" t="s">
        <v>278</v>
      </c>
      <c r="B9" s="174">
        <f>B7/(2*(1+B8))</f>
        <v>77519.379844961237</v>
      </c>
      <c r="C9" s="96" t="s">
        <v>34</v>
      </c>
      <c r="D9" s="161">
        <v>0.01</v>
      </c>
      <c r="E9" s="176" t="s">
        <v>261</v>
      </c>
      <c r="F9" s="394"/>
      <c r="G9" s="191">
        <f>K5</f>
        <v>0</v>
      </c>
      <c r="H9" s="79">
        <v>0</v>
      </c>
      <c r="I9" s="79">
        <v>0</v>
      </c>
      <c r="J9" s="79">
        <v>0</v>
      </c>
      <c r="K9" s="150">
        <f>(1/(3*B7*B17*B12))*(2*B12^2+3*B11^2-3*B11*B12)</f>
        <v>2.8595808523244429E-9</v>
      </c>
      <c r="L9" s="79">
        <v>0</v>
      </c>
      <c r="M9" s="177" t="s">
        <v>266</v>
      </c>
      <c r="N9" s="175"/>
    </row>
    <row r="10" spans="1:18" ht="17" thickBot="1">
      <c r="A10" s="184" t="s">
        <v>330</v>
      </c>
      <c r="B10" s="80"/>
      <c r="C10" s="96" t="s">
        <v>274</v>
      </c>
      <c r="D10" s="174">
        <f>D6/(D8*D9)</f>
        <v>666666.66666666674</v>
      </c>
      <c r="E10" s="178" t="s">
        <v>260</v>
      </c>
      <c r="F10" s="395"/>
      <c r="G10" s="190"/>
      <c r="H10" s="158">
        <v>0</v>
      </c>
      <c r="I10" s="158">
        <v>0</v>
      </c>
      <c r="J10" s="158">
        <v>0</v>
      </c>
      <c r="K10" s="158">
        <v>0</v>
      </c>
      <c r="L10" s="193">
        <f>B11/(B19*B9)</f>
        <v>5.5332889492477968E-9</v>
      </c>
      <c r="M10" s="180" t="s">
        <v>267</v>
      </c>
      <c r="N10" s="175"/>
    </row>
    <row r="11" spans="1:18">
      <c r="A11" s="96" t="s">
        <v>335</v>
      </c>
      <c r="B11" s="173">
        <v>200</v>
      </c>
      <c r="C11" s="269" t="s">
        <v>35</v>
      </c>
      <c r="D11" s="267">
        <v>25</v>
      </c>
      <c r="J11" s="80"/>
      <c r="K11" s="155"/>
      <c r="L11" s="155"/>
      <c r="M11" s="155"/>
      <c r="N11" s="155"/>
      <c r="O11" s="155"/>
      <c r="P11" s="156"/>
      <c r="Q11" s="155"/>
      <c r="R11" s="155"/>
    </row>
    <row r="12" spans="1:18">
      <c r="A12" s="96" t="s">
        <v>221</v>
      </c>
      <c r="B12" s="188">
        <v>200</v>
      </c>
      <c r="C12" s="269" t="s">
        <v>365</v>
      </c>
      <c r="D12" s="270">
        <f>D7*D11^2/4</f>
        <v>78125000</v>
      </c>
      <c r="J12" s="80"/>
      <c r="P12" s="141"/>
    </row>
    <row r="13" spans="1:18">
      <c r="A13" s="96" t="s">
        <v>332</v>
      </c>
      <c r="B13" s="80">
        <v>50</v>
      </c>
      <c r="C13" s="269" t="s">
        <v>275</v>
      </c>
      <c r="D13" s="270">
        <f>D7*D11^2/12</f>
        <v>26041666.666666668</v>
      </c>
      <c r="J13" s="80"/>
      <c r="P13" s="141"/>
    </row>
    <row r="14" spans="1:18">
      <c r="A14" s="96" t="s">
        <v>331</v>
      </c>
      <c r="B14" s="169">
        <v>35</v>
      </c>
      <c r="C14" s="269" t="s">
        <v>276</v>
      </c>
      <c r="D14" s="271">
        <f>D13</f>
        <v>26041666.666666668</v>
      </c>
      <c r="J14" s="80"/>
      <c r="P14" s="141"/>
    </row>
    <row r="15" spans="1:18">
      <c r="A15" s="96" t="s">
        <v>257</v>
      </c>
      <c r="C15" s="272" t="s">
        <v>354</v>
      </c>
      <c r="D15" s="267"/>
      <c r="J15" s="80"/>
      <c r="P15" s="141"/>
    </row>
    <row r="16" spans="1:18">
      <c r="A16" s="96" t="s">
        <v>258</v>
      </c>
      <c r="B16" s="92">
        <f>PI()*(B13^2-B14^2)/4</f>
        <v>1001.3826583317466</v>
      </c>
      <c r="C16" s="273" t="s">
        <v>253</v>
      </c>
      <c r="D16" s="267"/>
      <c r="J16" s="80"/>
      <c r="P16" s="141"/>
    </row>
    <row r="17" spans="1:19">
      <c r="A17" s="250" t="s">
        <v>378</v>
      </c>
      <c r="B17" s="92">
        <f>B18</f>
        <v>233134.40014285975</v>
      </c>
      <c r="C17" s="269" t="s">
        <v>255</v>
      </c>
      <c r="D17" s="267">
        <v>18</v>
      </c>
      <c r="J17" s="80"/>
      <c r="P17" s="141"/>
    </row>
    <row r="18" spans="1:19">
      <c r="A18" s="250" t="s">
        <v>379</v>
      </c>
      <c r="B18" s="92">
        <f>PI()*(B13^4-B14^4)/64</f>
        <v>233134.40014285975</v>
      </c>
      <c r="C18" s="269" t="s">
        <v>221</v>
      </c>
      <c r="D18" s="267">
        <v>2500</v>
      </c>
      <c r="J18" s="182"/>
      <c r="P18" s="141"/>
    </row>
    <row r="19" spans="1:19">
      <c r="A19" s="96" t="s">
        <v>223</v>
      </c>
      <c r="B19" s="92">
        <f>PI()*(B13^4-B14^4)/32</f>
        <v>466268.80028571951</v>
      </c>
      <c r="C19" s="269" t="s">
        <v>54</v>
      </c>
      <c r="D19" s="274">
        <v>200000</v>
      </c>
      <c r="J19" s="162"/>
      <c r="K19" s="138"/>
      <c r="N19" s="138"/>
      <c r="O19" s="138"/>
      <c r="P19" s="142"/>
    </row>
    <row r="20" spans="1:19">
      <c r="A20" s="96" t="s">
        <v>323</v>
      </c>
      <c r="B20" s="92">
        <f>B18/B16</f>
        <v>232.8125</v>
      </c>
      <c r="C20" s="269" t="s">
        <v>254</v>
      </c>
      <c r="D20" s="275">
        <f>PI()*D17^2/4*D19/D18</f>
        <v>20357.520395261861</v>
      </c>
      <c r="J20" s="162"/>
      <c r="K20" s="138"/>
      <c r="L20" s="138"/>
      <c r="M20" s="138"/>
      <c r="N20" s="138"/>
      <c r="O20" s="138"/>
      <c r="P20" s="142"/>
    </row>
    <row r="21" spans="1:19" ht="17" thickBot="1">
      <c r="A21" s="96" t="s">
        <v>336</v>
      </c>
      <c r="B21" s="92">
        <f>3*B7*B18/B12^3</f>
        <v>17485.080010714482</v>
      </c>
      <c r="C21" s="276" t="s">
        <v>304</v>
      </c>
      <c r="D21" s="277">
        <v>3</v>
      </c>
      <c r="E21" s="168"/>
      <c r="F21" s="168"/>
      <c r="G21" s="168"/>
      <c r="J21" s="165"/>
      <c r="K21" s="166"/>
      <c r="L21" s="166"/>
      <c r="M21" s="166"/>
      <c r="N21" s="166"/>
      <c r="O21" s="166"/>
      <c r="P21" s="167"/>
      <c r="Q21" s="168"/>
      <c r="R21" s="168"/>
    </row>
    <row r="22" spans="1:19" ht="16" customHeight="1" thickBot="1">
      <c r="A22" s="390" t="s">
        <v>343</v>
      </c>
      <c r="B22" s="391"/>
      <c r="C22" s="391"/>
      <c r="D22" s="391"/>
      <c r="E22" s="391"/>
      <c r="F22" s="391"/>
      <c r="G22" s="391"/>
      <c r="H22" s="391"/>
      <c r="I22" s="391"/>
      <c r="J22" s="391"/>
      <c r="K22" s="391"/>
      <c r="L22" s="391"/>
      <c r="M22" s="392"/>
      <c r="N22" s="175"/>
      <c r="O22" s="201"/>
      <c r="P22" s="201"/>
      <c r="Q22" s="20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SUM(H35:S35)+C25</f>
        <v>2000000</v>
      </c>
      <c r="C25" s="210">
        <v>0</v>
      </c>
      <c r="O25" s="201"/>
      <c r="P25" s="201"/>
      <c r="Q25" s="201"/>
      <c r="R25" s="201"/>
    </row>
    <row r="26" spans="1:19">
      <c r="A26" s="209" t="s">
        <v>112</v>
      </c>
      <c r="B26" s="144">
        <f>SUM(H36:S36)+C26</f>
        <v>2000000</v>
      </c>
      <c r="C26" s="210">
        <v>0</v>
      </c>
      <c r="G26" s="234" t="s">
        <v>175</v>
      </c>
      <c r="O26" s="201"/>
      <c r="P26" s="201"/>
      <c r="Q26" s="201"/>
      <c r="R26" s="201"/>
    </row>
    <row r="27" spans="1:19">
      <c r="A27" s="209" t="s">
        <v>113</v>
      </c>
      <c r="B27" s="144">
        <f>SUM(H37:S37)+C27</f>
        <v>2000000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80404375000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125134791666.66667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45134791666.666664</v>
      </c>
      <c r="C31" s="210">
        <v>0</v>
      </c>
      <c r="D31" s="85"/>
      <c r="E31" s="85"/>
      <c r="F31" s="85">
        <v>150</v>
      </c>
      <c r="G31" s="96" t="s">
        <v>42</v>
      </c>
      <c r="H31" s="205">
        <f>F31</f>
        <v>150</v>
      </c>
      <c r="I31" s="205">
        <f>-F31</f>
        <v>-150</v>
      </c>
      <c r="J31" s="205">
        <f>-F31</f>
        <v>-150</v>
      </c>
      <c r="K31" s="205">
        <f>F31</f>
        <v>150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v>200</v>
      </c>
      <c r="G33" s="96" t="s">
        <v>44</v>
      </c>
      <c r="H33" s="205">
        <f>F33</f>
        <v>200</v>
      </c>
      <c r="I33" s="205">
        <f>F33</f>
        <v>200</v>
      </c>
      <c r="J33" s="205">
        <f>-F33</f>
        <v>-200</v>
      </c>
      <c r="K33" s="205">
        <f>-F33</f>
        <v>-200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f>D7</f>
        <v>500000</v>
      </c>
      <c r="I35" s="134">
        <f>H35</f>
        <v>500000</v>
      </c>
      <c r="J35" s="134">
        <f t="shared" ref="J35:K35" si="1">I35</f>
        <v>500000</v>
      </c>
      <c r="K35" s="134">
        <f t="shared" si="1"/>
        <v>500000</v>
      </c>
      <c r="L35" s="205">
        <v>0</v>
      </c>
      <c r="M35" s="205">
        <v>0</v>
      </c>
      <c r="N35" s="205">
        <v>0</v>
      </c>
      <c r="O35" s="205">
        <v>0</v>
      </c>
      <c r="P35" s="205">
        <v>0</v>
      </c>
      <c r="Q35" s="205">
        <v>0</v>
      </c>
      <c r="R35" s="205">
        <v>0</v>
      </c>
      <c r="S35" s="205">
        <v>0</v>
      </c>
    </row>
    <row r="36" spans="1:19">
      <c r="A36" s="79" t="s">
        <v>103</v>
      </c>
      <c r="D36" s="85"/>
      <c r="E36" s="85"/>
      <c r="F36" s="85"/>
      <c r="G36" s="96" t="s">
        <v>112</v>
      </c>
      <c r="H36" s="134">
        <f>H35</f>
        <v>500000</v>
      </c>
      <c r="I36" s="134">
        <f t="shared" ref="I36:K36" si="2">I35</f>
        <v>500000</v>
      </c>
      <c r="J36" s="134">
        <f t="shared" si="2"/>
        <v>500000</v>
      </c>
      <c r="K36" s="134">
        <f t="shared" si="2"/>
        <v>500000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500000</v>
      </c>
      <c r="I37" s="134">
        <f t="shared" ref="I37" si="3">I36</f>
        <v>500000</v>
      </c>
      <c r="J37" s="134">
        <f t="shared" ref="J37" si="4">J36</f>
        <v>500000</v>
      </c>
      <c r="K37" s="134">
        <f t="shared" ref="K37" si="5">K36</f>
        <v>500000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6">I39</f>
        <v>101093750</v>
      </c>
      <c r="K39" s="134">
        <f t="shared" si="6"/>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7">H40</f>
        <v>33697916.666666664</v>
      </c>
      <c r="J40" s="134">
        <f t="shared" si="7"/>
        <v>33697916.666666664</v>
      </c>
      <c r="K40" s="134">
        <f t="shared" si="7"/>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7"/>
        <v>33697916.666666664</v>
      </c>
      <c r="J41" s="134">
        <f t="shared" si="7"/>
        <v>33697916.666666664</v>
      </c>
      <c r="K41" s="134">
        <f t="shared" si="7"/>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20000000000</v>
      </c>
      <c r="I43" s="144">
        <f t="shared" ref="I43:S43" si="8">I36*I33^2+I37*I32^2</f>
        <v>20000000000</v>
      </c>
      <c r="J43" s="144">
        <f t="shared" si="8"/>
        <v>20000000000</v>
      </c>
      <c r="K43" s="144">
        <f t="shared" si="8"/>
        <v>20000000000</v>
      </c>
      <c r="L43" s="99">
        <f t="shared" si="8"/>
        <v>0</v>
      </c>
      <c r="M43" s="99">
        <f t="shared" si="8"/>
        <v>0</v>
      </c>
      <c r="N43" s="99">
        <f t="shared" si="8"/>
        <v>0</v>
      </c>
      <c r="O43" s="99">
        <f t="shared" si="8"/>
        <v>0</v>
      </c>
      <c r="P43" s="99">
        <f t="shared" si="8"/>
        <v>0</v>
      </c>
      <c r="Q43" s="99">
        <f t="shared" si="8"/>
        <v>0</v>
      </c>
      <c r="R43" s="99">
        <f t="shared" si="8"/>
        <v>0</v>
      </c>
      <c r="S43" s="99">
        <f t="shared" si="8"/>
        <v>0</v>
      </c>
    </row>
    <row r="44" spans="1:19">
      <c r="A44" s="206" t="s">
        <v>194</v>
      </c>
      <c r="D44" s="210"/>
      <c r="E44" s="210"/>
      <c r="F44" s="210"/>
      <c r="G44" s="96" t="s">
        <v>114</v>
      </c>
      <c r="H44" s="144">
        <f>H35*H33^2+H37*H31^2</f>
        <v>31250000000</v>
      </c>
      <c r="I44" s="144">
        <f t="shared" ref="I44:S44" si="9">I35*I33^2+I37*I31^2</f>
        <v>31250000000</v>
      </c>
      <c r="J44" s="144">
        <f t="shared" si="9"/>
        <v>31250000000</v>
      </c>
      <c r="K44" s="144">
        <f t="shared" si="9"/>
        <v>31250000000</v>
      </c>
      <c r="L44" s="99">
        <f t="shared" si="9"/>
        <v>0</v>
      </c>
      <c r="M44" s="99">
        <f t="shared" si="9"/>
        <v>0</v>
      </c>
      <c r="N44" s="99">
        <f t="shared" si="9"/>
        <v>0</v>
      </c>
      <c r="O44" s="99">
        <f t="shared" si="9"/>
        <v>0</v>
      </c>
      <c r="P44" s="99">
        <f t="shared" si="9"/>
        <v>0</v>
      </c>
      <c r="Q44" s="99">
        <f t="shared" si="9"/>
        <v>0</v>
      </c>
      <c r="R44" s="99">
        <f t="shared" si="9"/>
        <v>0</v>
      </c>
      <c r="S44" s="99">
        <f t="shared" si="9"/>
        <v>0</v>
      </c>
    </row>
    <row r="45" spans="1:19">
      <c r="A45" s="96" t="s">
        <v>115</v>
      </c>
      <c r="B45" s="99">
        <f>SQRT((H47^2+I47^2+J47^2+K47^2+L47^2+M47^2+N47^2+O47^2+P47^2+Q47^2+R47^2+S47^2)/H$28)</f>
        <v>5.0000000000000001E-3</v>
      </c>
      <c r="C45" s="85"/>
      <c r="D45" s="210"/>
      <c r="E45" s="210"/>
      <c r="F45" s="210"/>
      <c r="G45" s="96" t="s">
        <v>110</v>
      </c>
      <c r="H45" s="144">
        <f>H35*H32^2+H36*H31^2</f>
        <v>11250000000</v>
      </c>
      <c r="I45" s="144">
        <f t="shared" ref="I45:S45" si="10">I35*I32^2+I36*I31^2</f>
        <v>11250000000</v>
      </c>
      <c r="J45" s="144">
        <f t="shared" si="10"/>
        <v>11250000000</v>
      </c>
      <c r="K45" s="144">
        <f t="shared" si="10"/>
        <v>11250000000</v>
      </c>
      <c r="L45" s="99">
        <f t="shared" si="10"/>
        <v>0</v>
      </c>
      <c r="M45" s="99">
        <f t="shared" si="10"/>
        <v>0</v>
      </c>
      <c r="N45" s="99">
        <f t="shared" si="10"/>
        <v>0</v>
      </c>
      <c r="O45" s="99">
        <f t="shared" si="10"/>
        <v>0</v>
      </c>
      <c r="P45" s="99">
        <f t="shared" si="10"/>
        <v>0</v>
      </c>
      <c r="Q45" s="99">
        <f t="shared" si="10"/>
        <v>0</v>
      </c>
      <c r="R45" s="99">
        <f t="shared" si="10"/>
        <v>0</v>
      </c>
      <c r="S45" s="99">
        <f t="shared" si="10"/>
        <v>0</v>
      </c>
    </row>
    <row r="46" spans="1:19">
      <c r="A46" s="96" t="s">
        <v>116</v>
      </c>
      <c r="B46" s="99">
        <f t="shared" ref="B46:B47" si="11">SQRT((H48^2+I48^2+J48^2+K48^2+L48^2+M48^2+N48^2+O48^2+P48^2+Q48^2+R48^2+S48^2)/H$28)</f>
        <v>5.0000000000000001E-3</v>
      </c>
      <c r="C46" s="85"/>
      <c r="D46" s="210"/>
      <c r="E46" s="210"/>
      <c r="F46" s="210"/>
      <c r="G46" s="80" t="s">
        <v>293</v>
      </c>
    </row>
    <row r="47" spans="1:19">
      <c r="A47" s="96" t="s">
        <v>117</v>
      </c>
      <c r="B47" s="99">
        <f t="shared" si="11"/>
        <v>5.0000000000000001E-3</v>
      </c>
      <c r="C47" s="85"/>
      <c r="D47" s="192"/>
      <c r="E47" s="192"/>
      <c r="F47" s="192"/>
      <c r="G47" s="96" t="s">
        <v>115</v>
      </c>
      <c r="H47" s="205">
        <f t="shared" ref="H47:K49" si="12">IF(REBS="YES", REB, 0.005)</f>
        <v>5.0000000000000001E-3</v>
      </c>
      <c r="I47" s="205">
        <f t="shared" si="12"/>
        <v>5.0000000000000001E-3</v>
      </c>
      <c r="J47" s="205">
        <f t="shared" si="12"/>
        <v>5.0000000000000001E-3</v>
      </c>
      <c r="K47" s="205">
        <f t="shared" si="12"/>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2.5000000000000001E-5</v>
      </c>
      <c r="C48" s="85"/>
      <c r="D48" s="210"/>
      <c r="E48" s="210"/>
      <c r="F48" s="210"/>
      <c r="G48" s="96" t="s">
        <v>116</v>
      </c>
      <c r="H48" s="205">
        <f t="shared" si="12"/>
        <v>5.0000000000000001E-3</v>
      </c>
      <c r="I48" s="205">
        <f t="shared" si="12"/>
        <v>5.0000000000000001E-3</v>
      </c>
      <c r="J48" s="205">
        <f t="shared" si="12"/>
        <v>5.0000000000000001E-3</v>
      </c>
      <c r="K48" s="205">
        <f t="shared" si="12"/>
        <v>5.0000000000000001E-3</v>
      </c>
      <c r="L48" s="205">
        <v>0</v>
      </c>
      <c r="M48" s="205">
        <v>0</v>
      </c>
      <c r="N48" s="205">
        <v>0</v>
      </c>
      <c r="O48" s="205">
        <v>0</v>
      </c>
      <c r="P48" s="205">
        <v>0</v>
      </c>
      <c r="Q48" s="205">
        <v>0</v>
      </c>
      <c r="R48" s="205">
        <v>0</v>
      </c>
      <c r="S48" s="205">
        <v>0</v>
      </c>
    </row>
    <row r="49" spans="1:20">
      <c r="A49" s="96" t="s">
        <v>81</v>
      </c>
      <c r="B49" s="99">
        <f>SQRT((H52^2+I52^2+J52^2+K52^2+L52^2+M52^2+N52^2+O52^2+P52^2+Q52^2+R52^2+S52^2+B38^2)/H$28)</f>
        <v>2.5000000000000001E-5</v>
      </c>
      <c r="C49" s="85"/>
      <c r="D49" s="210"/>
      <c r="E49" s="210"/>
      <c r="F49" s="210"/>
      <c r="G49" s="96" t="s">
        <v>117</v>
      </c>
      <c r="H49" s="205">
        <f t="shared" si="12"/>
        <v>5.0000000000000001E-3</v>
      </c>
      <c r="I49" s="205">
        <f t="shared" si="12"/>
        <v>5.0000000000000001E-3</v>
      </c>
      <c r="J49" s="205">
        <f t="shared" si="12"/>
        <v>5.0000000000000001E-3</v>
      </c>
      <c r="K49" s="205">
        <f t="shared" si="12"/>
        <v>5.0000000000000001E-3</v>
      </c>
      <c r="L49" s="205">
        <v>0</v>
      </c>
      <c r="M49" s="205">
        <v>0</v>
      </c>
      <c r="N49" s="205">
        <v>0</v>
      </c>
      <c r="O49" s="205">
        <v>0</v>
      </c>
      <c r="P49" s="205">
        <v>0</v>
      </c>
      <c r="Q49" s="205">
        <v>0</v>
      </c>
      <c r="R49" s="205">
        <v>0</v>
      </c>
      <c r="S49" s="205">
        <v>0</v>
      </c>
    </row>
    <row r="50" spans="1:20">
      <c r="A50" s="96" t="s">
        <v>82</v>
      </c>
      <c r="B50" s="99">
        <f>SQRT((H53^2+I53^2+J53^2+K53^2+L53^2+M53^2+N53^2+O53^2+P53^2+Q53^2+R53^2+S53^2+B39^2)/H$28)</f>
        <v>3.3333333333333335E-5</v>
      </c>
      <c r="C50" s="85"/>
      <c r="D50" s="210"/>
      <c r="E50" s="210"/>
      <c r="F50" s="210"/>
      <c r="G50" s="80" t="s">
        <v>238</v>
      </c>
    </row>
    <row r="51" spans="1:20" ht="51">
      <c r="A51" s="207" t="s">
        <v>195</v>
      </c>
      <c r="B51" s="101"/>
      <c r="D51" s="211"/>
      <c r="E51" s="211"/>
      <c r="F51" s="211"/>
      <c r="G51" s="96" t="s">
        <v>80</v>
      </c>
      <c r="H51" s="144">
        <f t="shared" ref="H51:S51" si="13">H98</f>
        <v>2.4999999875000002E-5</v>
      </c>
      <c r="I51" s="144">
        <f t="shared" si="13"/>
        <v>2.4999999875000002E-5</v>
      </c>
      <c r="J51" s="144">
        <f t="shared" si="13"/>
        <v>2.5000000125000001E-5</v>
      </c>
      <c r="K51" s="144">
        <f t="shared" si="13"/>
        <v>2.5000000125000001E-5</v>
      </c>
      <c r="L51" s="144">
        <f t="shared" si="13"/>
        <v>0</v>
      </c>
      <c r="M51" s="144">
        <f t="shared" si="13"/>
        <v>0</v>
      </c>
      <c r="N51" s="144">
        <f t="shared" si="13"/>
        <v>0</v>
      </c>
      <c r="O51" s="144">
        <f t="shared" si="13"/>
        <v>0</v>
      </c>
      <c r="P51" s="144">
        <f t="shared" si="13"/>
        <v>0</v>
      </c>
      <c r="Q51" s="144">
        <f t="shared" si="13"/>
        <v>0</v>
      </c>
      <c r="R51" s="144">
        <f t="shared" si="13"/>
        <v>0</v>
      </c>
      <c r="S51" s="144">
        <f t="shared" si="13"/>
        <v>0</v>
      </c>
    </row>
    <row r="52" spans="1:20">
      <c r="A52" s="96" t="s">
        <v>115</v>
      </c>
      <c r="B52" s="99">
        <f>SQRT((H55^2+I55^2+J55^2+K55^2+L55^2+M55^2+N55^2+O55^2+P55^2+Q55^2+R55^2+S55^2)/H$28)</f>
        <v>0.1</v>
      </c>
      <c r="C52" s="85"/>
      <c r="D52" s="211"/>
      <c r="E52" s="211"/>
      <c r="F52" s="211"/>
      <c r="G52" s="96" t="s">
        <v>81</v>
      </c>
      <c r="H52" s="144">
        <f t="shared" ref="H52:S52" si="14">H102</f>
        <v>2.4999999875000002E-5</v>
      </c>
      <c r="I52" s="144">
        <f t="shared" si="14"/>
        <v>2.4999999875000002E-5</v>
      </c>
      <c r="J52" s="144">
        <f t="shared" si="14"/>
        <v>2.5000000125000001E-5</v>
      </c>
      <c r="K52" s="144">
        <f t="shared" si="14"/>
        <v>2.5000000125000001E-5</v>
      </c>
      <c r="L52" s="144">
        <f t="shared" si="14"/>
        <v>0</v>
      </c>
      <c r="M52" s="144">
        <f t="shared" si="14"/>
        <v>0</v>
      </c>
      <c r="N52" s="144">
        <f t="shared" si="14"/>
        <v>0</v>
      </c>
      <c r="O52" s="144">
        <f t="shared" si="14"/>
        <v>0</v>
      </c>
      <c r="P52" s="144">
        <f t="shared" si="14"/>
        <v>0</v>
      </c>
      <c r="Q52" s="144">
        <f t="shared" si="14"/>
        <v>0</v>
      </c>
      <c r="R52" s="144">
        <f t="shared" si="14"/>
        <v>0</v>
      </c>
      <c r="S52" s="144">
        <f t="shared" si="14"/>
        <v>0</v>
      </c>
      <c r="T52" s="81"/>
    </row>
    <row r="53" spans="1:20">
      <c r="A53" s="96" t="s">
        <v>116</v>
      </c>
      <c r="B53" s="99">
        <f t="shared" ref="B53:B54" si="15">SQRT((H56^2+I56^2+J56^2+K56^2+L56^2+M56^2+N56^2+O56^2+P56^2+Q56^2+R56^2+S56^2)/H$28)</f>
        <v>0.1</v>
      </c>
      <c r="C53" s="85"/>
      <c r="D53" s="211"/>
      <c r="E53" s="211"/>
      <c r="F53" s="211"/>
      <c r="G53" s="96" t="s">
        <v>82</v>
      </c>
      <c r="H53" s="144">
        <f t="shared" ref="H53:S53" si="16">H106</f>
        <v>3.3333333111111111E-5</v>
      </c>
      <c r="I53" s="144">
        <f t="shared" si="16"/>
        <v>3.3333333555555559E-5</v>
      </c>
      <c r="J53" s="144">
        <f t="shared" si="16"/>
        <v>3.3333333555555559E-5</v>
      </c>
      <c r="K53" s="144">
        <f t="shared" si="16"/>
        <v>3.3333333111111111E-5</v>
      </c>
      <c r="L53" s="144">
        <f t="shared" si="16"/>
        <v>0</v>
      </c>
      <c r="M53" s="144">
        <f t="shared" si="16"/>
        <v>0</v>
      </c>
      <c r="N53" s="144">
        <f t="shared" si="16"/>
        <v>0</v>
      </c>
      <c r="O53" s="144">
        <f t="shared" si="16"/>
        <v>0</v>
      </c>
      <c r="P53" s="144">
        <f t="shared" si="16"/>
        <v>0</v>
      </c>
      <c r="Q53" s="144">
        <f t="shared" si="16"/>
        <v>0</v>
      </c>
      <c r="R53" s="144">
        <f t="shared" si="16"/>
        <v>0</v>
      </c>
      <c r="S53" s="144">
        <f t="shared" si="16"/>
        <v>0</v>
      </c>
    </row>
    <row r="54" spans="1:20">
      <c r="A54" s="96" t="s">
        <v>117</v>
      </c>
      <c r="B54" s="99">
        <f t="shared" si="15"/>
        <v>0.1</v>
      </c>
      <c r="C54" s="85"/>
      <c r="D54" s="205"/>
      <c r="E54" s="205"/>
      <c r="F54" s="205"/>
      <c r="G54" s="80" t="s">
        <v>317</v>
      </c>
    </row>
    <row r="55" spans="1:20">
      <c r="A55" s="96" t="s">
        <v>80</v>
      </c>
      <c r="B55" s="99">
        <f>SQRT((H59^2+I59^2+J59^2+K59^2+L59^2+M59^2+N59^2+O59^2+P59^2+Q59^2+R59^2+S59^2+B41^2)/H$28)</f>
        <v>5.0000000000000001E-4</v>
      </c>
      <c r="C55" s="85"/>
      <c r="G55" s="96" t="s">
        <v>115</v>
      </c>
      <c r="H55" s="205">
        <v>0.1</v>
      </c>
      <c r="I55" s="205">
        <v>0.1</v>
      </c>
      <c r="J55" s="205">
        <v>0.1</v>
      </c>
      <c r="K55" s="205">
        <v>0.1</v>
      </c>
      <c r="L55" s="205">
        <v>0</v>
      </c>
      <c r="M55" s="205">
        <v>0</v>
      </c>
      <c r="N55" s="205">
        <v>0</v>
      </c>
      <c r="O55" s="205">
        <v>0</v>
      </c>
      <c r="P55" s="205">
        <v>0</v>
      </c>
      <c r="Q55" s="205">
        <v>0</v>
      </c>
      <c r="R55" s="205">
        <v>0</v>
      </c>
      <c r="S55" s="205">
        <v>0</v>
      </c>
    </row>
    <row r="56" spans="1:20">
      <c r="A56" s="96" t="s">
        <v>81</v>
      </c>
      <c r="B56" s="99">
        <f>SQRT((H60^2+I60^2+J60^2+K60^2+L60^2+M60^2+N60^2+O60^2+P60^2+Q60^2+R60^2+S60^2+B42^2)/H$28)</f>
        <v>5.0000000000000001E-4</v>
      </c>
      <c r="C56" s="85"/>
      <c r="G56" s="96" t="s">
        <v>116</v>
      </c>
      <c r="H56" s="205">
        <v>0.1</v>
      </c>
      <c r="I56" s="205">
        <v>0.1</v>
      </c>
      <c r="J56" s="205">
        <v>0.1</v>
      </c>
      <c r="K56" s="205">
        <v>0.1</v>
      </c>
      <c r="L56" s="205">
        <v>0</v>
      </c>
      <c r="M56" s="205">
        <v>0</v>
      </c>
      <c r="N56" s="205">
        <v>0</v>
      </c>
      <c r="O56" s="205">
        <v>0</v>
      </c>
      <c r="P56" s="205">
        <v>0</v>
      </c>
      <c r="Q56" s="205">
        <v>0</v>
      </c>
      <c r="R56" s="205">
        <v>0</v>
      </c>
      <c r="S56" s="205">
        <v>0</v>
      </c>
    </row>
    <row r="57" spans="1:20">
      <c r="A57" s="96" t="s">
        <v>82</v>
      </c>
      <c r="B57" s="99">
        <f>SQRT((H61^2+I61^2+J61^2+K61^2+L61^2+M61^2+N61^2+O61^2+P61^2+Q61^2+R61^2+S61^2+B43^2)/H$28)</f>
        <v>6.6666666666666675E-4</v>
      </c>
      <c r="C57" s="85"/>
      <c r="G57" s="96" t="s">
        <v>117</v>
      </c>
      <c r="H57" s="205">
        <v>0.1</v>
      </c>
      <c r="I57" s="205">
        <v>0.1</v>
      </c>
      <c r="J57" s="205">
        <v>0.1</v>
      </c>
      <c r="K57" s="205">
        <v>0.1</v>
      </c>
      <c r="L57" s="205">
        <v>0</v>
      </c>
      <c r="M57" s="205">
        <v>0</v>
      </c>
      <c r="N57" s="205">
        <v>0</v>
      </c>
      <c r="O57" s="205">
        <v>0</v>
      </c>
      <c r="P57" s="205">
        <v>0</v>
      </c>
      <c r="Q57" s="205">
        <v>0</v>
      </c>
      <c r="R57" s="205">
        <v>0</v>
      </c>
      <c r="S57" s="205">
        <v>0</v>
      </c>
    </row>
    <row r="58" spans="1:20">
      <c r="B58" s="101"/>
      <c r="G58" s="80" t="s">
        <v>239</v>
      </c>
    </row>
    <row r="59" spans="1:20">
      <c r="A59" s="292" t="s">
        <v>387</v>
      </c>
      <c r="B59" s="292"/>
      <c r="G59" s="96" t="s">
        <v>80</v>
      </c>
      <c r="H59" s="144">
        <f t="shared" ref="H59:S59" si="17">H113</f>
        <v>4.9999999750000002E-4</v>
      </c>
      <c r="I59" s="144">
        <f t="shared" si="17"/>
        <v>4.9999999750000002E-4</v>
      </c>
      <c r="J59" s="144">
        <f t="shared" si="17"/>
        <v>-5.000000025E-4</v>
      </c>
      <c r="K59" s="144">
        <f t="shared" si="17"/>
        <v>-5.000000025E-4</v>
      </c>
      <c r="L59" s="144">
        <f t="shared" si="17"/>
        <v>0</v>
      </c>
      <c r="M59" s="144">
        <f t="shared" si="17"/>
        <v>0</v>
      </c>
      <c r="N59" s="144">
        <f t="shared" si="17"/>
        <v>0</v>
      </c>
      <c r="O59" s="144">
        <f t="shared" si="17"/>
        <v>0</v>
      </c>
      <c r="P59" s="144">
        <f t="shared" si="17"/>
        <v>0</v>
      </c>
      <c r="Q59" s="144">
        <f t="shared" si="17"/>
        <v>0</v>
      </c>
      <c r="R59" s="144">
        <f t="shared" si="17"/>
        <v>0</v>
      </c>
      <c r="S59" s="144">
        <f t="shared" si="17"/>
        <v>0</v>
      </c>
    </row>
    <row r="60" spans="1:20">
      <c r="A60" s="293" t="s">
        <v>80</v>
      </c>
      <c r="B60" s="294">
        <f>IF(MAX(ABS(B48),ABS(B55))=0, 0.001, MAX(ABS(B48),ABS(B55)))</f>
        <v>5.0000000000000001E-4</v>
      </c>
      <c r="G60" s="96" t="s">
        <v>81</v>
      </c>
      <c r="H60" s="144">
        <f t="shared" ref="H60:S60" si="18">H118</f>
        <v>-4.9999999750000002E-4</v>
      </c>
      <c r="I60" s="144">
        <f t="shared" si="18"/>
        <v>4.9999999750000002E-4</v>
      </c>
      <c r="J60" s="144">
        <f t="shared" si="18"/>
        <v>-5.000000025E-4</v>
      </c>
      <c r="K60" s="144">
        <f t="shared" si="18"/>
        <v>5.000000025E-4</v>
      </c>
      <c r="L60" s="144">
        <f t="shared" si="18"/>
        <v>0</v>
      </c>
      <c r="M60" s="144">
        <f t="shared" si="18"/>
        <v>0</v>
      </c>
      <c r="N60" s="144">
        <f t="shared" si="18"/>
        <v>0</v>
      </c>
      <c r="O60" s="144">
        <f t="shared" si="18"/>
        <v>0</v>
      </c>
      <c r="P60" s="144">
        <f t="shared" si="18"/>
        <v>0</v>
      </c>
      <c r="Q60" s="144">
        <f t="shared" si="18"/>
        <v>0</v>
      </c>
      <c r="R60" s="144">
        <f t="shared" si="18"/>
        <v>0</v>
      </c>
      <c r="S60" s="144">
        <f t="shared" si="18"/>
        <v>0</v>
      </c>
    </row>
    <row r="61" spans="1:20">
      <c r="A61" s="293" t="s">
        <v>81</v>
      </c>
      <c r="B61" s="294">
        <f t="shared" ref="B61:B62" si="19">IF(MAX(ABS(B49),ABS(B56))=0, 0.001, MAX(ABS(B49),ABS(B56)))</f>
        <v>5.0000000000000001E-4</v>
      </c>
      <c r="G61" s="96" t="s">
        <v>82</v>
      </c>
      <c r="H61" s="144">
        <f t="shared" ref="H61:S61" si="20">H123</f>
        <v>6.6666666222222227E-4</v>
      </c>
      <c r="I61" s="144">
        <f t="shared" si="20"/>
        <v>-6.6666667111111113E-4</v>
      </c>
      <c r="J61" s="144">
        <f t="shared" si="20"/>
        <v>-6.6666667111111113E-4</v>
      </c>
      <c r="K61" s="144">
        <f t="shared" si="20"/>
        <v>6.6666666222222227E-4</v>
      </c>
      <c r="L61" s="144">
        <f t="shared" si="20"/>
        <v>0</v>
      </c>
      <c r="M61" s="144">
        <f t="shared" si="20"/>
        <v>0</v>
      </c>
      <c r="N61" s="144">
        <f t="shared" si="20"/>
        <v>0</v>
      </c>
      <c r="O61" s="144">
        <f t="shared" si="20"/>
        <v>0</v>
      </c>
      <c r="P61" s="144">
        <f t="shared" si="20"/>
        <v>0</v>
      </c>
      <c r="Q61" s="144">
        <f t="shared" si="20"/>
        <v>0</v>
      </c>
      <c r="R61" s="144">
        <f t="shared" si="20"/>
        <v>0</v>
      </c>
      <c r="S61" s="144">
        <f t="shared" si="20"/>
        <v>0</v>
      </c>
    </row>
    <row r="62" spans="1:20">
      <c r="A62" s="293" t="s">
        <v>82</v>
      </c>
      <c r="B62" s="294">
        <f t="shared" si="19"/>
        <v>6.6666666666666675E-4</v>
      </c>
      <c r="G62" s="206" t="s">
        <v>284</v>
      </c>
    </row>
    <row r="63" spans="1:20" s="146" customFormat="1">
      <c r="G63" s="79"/>
      <c r="H63" s="79"/>
      <c r="I63" s="111"/>
      <c r="J63" s="111"/>
      <c r="K63" s="111"/>
      <c r="L63" s="111"/>
      <c r="M63" s="111"/>
      <c r="N63" s="111"/>
      <c r="O63" s="79"/>
    </row>
    <row r="64" spans="1:20" s="146" customFormat="1">
      <c r="G64" s="112"/>
      <c r="H64" s="366"/>
      <c r="I64" s="214"/>
      <c r="J64" s="214"/>
      <c r="K64" s="214"/>
      <c r="L64" s="214"/>
      <c r="M64" s="214"/>
      <c r="N64" s="214"/>
      <c r="O64" s="111"/>
    </row>
    <row r="65" spans="1:15" s="146" customFormat="1">
      <c r="G65" s="112"/>
      <c r="H65" s="366"/>
      <c r="I65" s="214"/>
      <c r="J65" s="214"/>
      <c r="K65" s="214"/>
      <c r="L65" s="214"/>
      <c r="M65" s="214"/>
      <c r="N65" s="214"/>
      <c r="O65" s="111"/>
    </row>
    <row r="66" spans="1:15" s="146" customFormat="1">
      <c r="G66" s="112"/>
      <c r="H66" s="366"/>
      <c r="I66" s="214"/>
      <c r="J66" s="214"/>
      <c r="K66" s="214"/>
      <c r="L66" s="214"/>
      <c r="M66" s="214"/>
      <c r="N66" s="214"/>
      <c r="O66" s="111"/>
    </row>
    <row r="67" spans="1:15" s="146" customFormat="1">
      <c r="G67" s="112"/>
      <c r="H67" s="366"/>
      <c r="I67" s="214"/>
      <c r="J67" s="214"/>
      <c r="K67" s="214"/>
      <c r="L67" s="214"/>
      <c r="M67" s="214"/>
      <c r="N67" s="214"/>
      <c r="O67" s="111"/>
    </row>
    <row r="68" spans="1:15" s="146" customFormat="1">
      <c r="G68" s="112"/>
      <c r="H68" s="366"/>
      <c r="I68" s="214"/>
      <c r="J68" s="214"/>
      <c r="K68" s="214"/>
      <c r="L68" s="214"/>
      <c r="M68" s="214"/>
      <c r="N68" s="214"/>
      <c r="O68" s="111"/>
    </row>
    <row r="69" spans="1:15" s="146" customFormat="1">
      <c r="G69" s="112"/>
      <c r="H69" s="366"/>
      <c r="I69" s="214"/>
      <c r="J69" s="214"/>
      <c r="K69" s="214"/>
      <c r="L69" s="214"/>
      <c r="M69" s="214"/>
      <c r="N69" s="214"/>
      <c r="O69" s="111"/>
    </row>
    <row r="70" spans="1:15" s="146" customFormat="1">
      <c r="G70" s="112"/>
      <c r="H70" s="187"/>
      <c r="I70" s="214"/>
      <c r="J70" s="214"/>
      <c r="K70" s="214"/>
      <c r="L70" s="214"/>
      <c r="M70" s="214"/>
      <c r="N70" s="214"/>
      <c r="O70" s="111"/>
    </row>
    <row r="71" spans="1:15" s="146" customFormat="1">
      <c r="G71" s="112"/>
      <c r="H71" s="187"/>
      <c r="I71" s="214"/>
      <c r="J71" s="214"/>
      <c r="K71" s="214"/>
      <c r="L71" s="214"/>
      <c r="M71" s="214"/>
      <c r="N71" s="214"/>
      <c r="O71" s="111"/>
    </row>
    <row r="72" spans="1:15" s="146" customFormat="1">
      <c r="G72" s="112"/>
      <c r="H72" s="187"/>
      <c r="I72" s="214"/>
      <c r="J72" s="214"/>
      <c r="K72" s="214"/>
      <c r="L72" s="214"/>
      <c r="M72" s="214"/>
      <c r="N72" s="214"/>
      <c r="O72" s="111"/>
    </row>
    <row r="73" spans="1:15" s="146" customFormat="1">
      <c r="G73" s="112"/>
      <c r="H73" s="187"/>
      <c r="I73" s="214"/>
      <c r="J73" s="214"/>
      <c r="K73" s="214"/>
      <c r="L73" s="214"/>
      <c r="M73" s="214"/>
      <c r="N73" s="214"/>
      <c r="O73" s="111"/>
    </row>
    <row r="74" spans="1:15" s="146" customFormat="1">
      <c r="G74" s="112"/>
      <c r="H74" s="187"/>
      <c r="I74" s="214"/>
      <c r="J74" s="214"/>
      <c r="K74" s="214"/>
      <c r="L74" s="214"/>
      <c r="M74" s="214"/>
      <c r="N74" s="214"/>
      <c r="O74" s="111"/>
    </row>
    <row r="75" spans="1:15" s="146" customFormat="1">
      <c r="G75" s="112"/>
      <c r="H75" s="187"/>
      <c r="I75" s="214"/>
      <c r="J75" s="214"/>
      <c r="K75" s="214"/>
      <c r="L75" s="214"/>
      <c r="M75" s="214"/>
      <c r="N75" s="214"/>
      <c r="O75" s="111"/>
    </row>
    <row r="76" spans="1:15" s="146" customFormat="1">
      <c r="G76" s="112"/>
      <c r="H76" s="187"/>
      <c r="I76" s="214"/>
      <c r="J76" s="214"/>
      <c r="K76" s="214"/>
      <c r="L76" s="214"/>
      <c r="M76" s="214"/>
      <c r="N76" s="214"/>
      <c r="O76" s="111"/>
    </row>
    <row r="77" spans="1:15" s="146" customFormat="1">
      <c r="G77" s="112"/>
      <c r="H77" s="187"/>
      <c r="I77" s="214"/>
      <c r="J77" s="214"/>
      <c r="K77" s="214"/>
      <c r="L77" s="214"/>
      <c r="M77" s="214"/>
      <c r="N77" s="214"/>
      <c r="O77" s="111"/>
    </row>
    <row r="78" spans="1:15" s="146" customFormat="1">
      <c r="G78" s="112"/>
      <c r="H78" s="187"/>
      <c r="I78" s="214"/>
      <c r="J78" s="214"/>
      <c r="K78" s="214"/>
      <c r="L78" s="214"/>
      <c r="M78" s="214"/>
      <c r="N78" s="214"/>
      <c r="O78" s="111"/>
    </row>
    <row r="79" spans="1:15" s="146" customFormat="1">
      <c r="G79" s="112"/>
      <c r="H79" s="187"/>
      <c r="I79" s="214"/>
      <c r="J79" s="214"/>
      <c r="K79" s="214"/>
      <c r="L79" s="214"/>
      <c r="M79" s="214"/>
      <c r="N79" s="214"/>
      <c r="O79" s="111"/>
    </row>
    <row r="80" spans="1:15"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c r="G90" s="112"/>
      <c r="H90" s="187"/>
      <c r="I90" s="214"/>
      <c r="J90" s="214"/>
      <c r="K90" s="214"/>
      <c r="L90" s="214"/>
      <c r="M90" s="214"/>
      <c r="N90" s="214"/>
      <c r="O90" s="111"/>
    </row>
    <row r="91" spans="1:19" s="146" customFormat="1">
      <c r="A91" s="109"/>
      <c r="B91" s="201"/>
    </row>
    <row r="92" spans="1:19" s="146" customFormat="1">
      <c r="A92" s="109"/>
      <c r="B92" s="201"/>
    </row>
    <row r="93" spans="1:19">
      <c r="A93" s="109"/>
      <c r="B93" s="201"/>
      <c r="C93" s="146"/>
    </row>
    <row r="94" spans="1:19">
      <c r="A94" s="109"/>
      <c r="B94" s="201"/>
      <c r="C94" s="146"/>
      <c r="G94" s="215" t="s">
        <v>246</v>
      </c>
    </row>
    <row r="95" spans="1:19">
      <c r="A95" s="109"/>
      <c r="B95" s="201"/>
      <c r="C95" s="146"/>
      <c r="G95" s="203"/>
      <c r="H95" s="141" t="s">
        <v>247</v>
      </c>
    </row>
    <row r="96" spans="1:19">
      <c r="A96" s="109"/>
      <c r="B96" s="201"/>
      <c r="C96" s="146"/>
      <c r="G96" s="141" t="s">
        <v>245</v>
      </c>
      <c r="H96" s="79">
        <f t="shared" ref="H96:S96" si="21">H48/ABS(H33+0.000001)</f>
        <v>2.4999999875000002E-5</v>
      </c>
      <c r="I96" s="79">
        <f t="shared" si="21"/>
        <v>2.4999999875000002E-5</v>
      </c>
      <c r="J96" s="79">
        <f t="shared" si="21"/>
        <v>2.5000000125000001E-5</v>
      </c>
      <c r="K96" s="79">
        <f t="shared" si="21"/>
        <v>2.5000000125000001E-5</v>
      </c>
      <c r="L96" s="79">
        <f t="shared" si="21"/>
        <v>0</v>
      </c>
      <c r="M96" s="79">
        <f t="shared" si="21"/>
        <v>0</v>
      </c>
      <c r="N96" s="79">
        <f t="shared" si="21"/>
        <v>0</v>
      </c>
      <c r="O96" s="79">
        <f t="shared" si="21"/>
        <v>0</v>
      </c>
      <c r="P96" s="79">
        <f t="shared" si="21"/>
        <v>0</v>
      </c>
      <c r="Q96" s="79">
        <f t="shared" si="21"/>
        <v>0</v>
      </c>
      <c r="R96" s="79">
        <f t="shared" si="21"/>
        <v>0</v>
      </c>
      <c r="S96" s="79">
        <f t="shared" si="21"/>
        <v>0</v>
      </c>
    </row>
    <row r="97" spans="1:19">
      <c r="A97" s="109"/>
      <c r="B97" s="201"/>
      <c r="C97" s="146"/>
      <c r="G97" s="141" t="s">
        <v>245</v>
      </c>
      <c r="H97" s="79">
        <f t="shared" ref="H97:S97" si="22">H49/ABS(H32+0.000001)</f>
        <v>5000</v>
      </c>
      <c r="I97" s="79">
        <f t="shared" si="22"/>
        <v>5000</v>
      </c>
      <c r="J97" s="79">
        <f t="shared" si="22"/>
        <v>5000</v>
      </c>
      <c r="K97" s="79">
        <f t="shared" si="22"/>
        <v>5000</v>
      </c>
      <c r="L97" s="79">
        <f t="shared" si="22"/>
        <v>0</v>
      </c>
      <c r="M97" s="79">
        <f t="shared" si="22"/>
        <v>0</v>
      </c>
      <c r="N97" s="79">
        <f t="shared" si="22"/>
        <v>0</v>
      </c>
      <c r="O97" s="79">
        <f t="shared" si="22"/>
        <v>0</v>
      </c>
      <c r="P97" s="79">
        <f t="shared" si="22"/>
        <v>0</v>
      </c>
      <c r="Q97" s="79">
        <f t="shared" si="22"/>
        <v>0</v>
      </c>
      <c r="R97" s="79">
        <f t="shared" si="22"/>
        <v>0</v>
      </c>
      <c r="S97" s="79">
        <f t="shared" si="22"/>
        <v>0</v>
      </c>
    </row>
    <row r="98" spans="1:19">
      <c r="A98" s="109"/>
      <c r="B98" s="201"/>
      <c r="C98" s="146"/>
      <c r="G98" s="79" t="s">
        <v>243</v>
      </c>
      <c r="H98" s="216">
        <f>IF(MIN(H96,H97)&gt;1,0,MIN(H96,H97))</f>
        <v>2.4999999875000002E-5</v>
      </c>
      <c r="I98" s="216">
        <f t="shared" ref="I98:S98" si="23">IF(MIN(I96,I97)&gt;1,0,MIN(I96,I97))</f>
        <v>2.4999999875000002E-5</v>
      </c>
      <c r="J98" s="216">
        <f t="shared" si="23"/>
        <v>2.5000000125000001E-5</v>
      </c>
      <c r="K98" s="216">
        <f t="shared" si="23"/>
        <v>2.5000000125000001E-5</v>
      </c>
      <c r="L98" s="216">
        <f t="shared" si="23"/>
        <v>0</v>
      </c>
      <c r="M98" s="216">
        <f t="shared" si="23"/>
        <v>0</v>
      </c>
      <c r="N98" s="216">
        <f t="shared" si="23"/>
        <v>0</v>
      </c>
      <c r="O98" s="216">
        <f t="shared" si="23"/>
        <v>0</v>
      </c>
      <c r="P98" s="216">
        <f t="shared" si="23"/>
        <v>0</v>
      </c>
      <c r="Q98" s="216">
        <f t="shared" si="23"/>
        <v>0</v>
      </c>
      <c r="R98" s="216">
        <f t="shared" si="23"/>
        <v>0</v>
      </c>
      <c r="S98" s="216">
        <f t="shared" si="23"/>
        <v>0</v>
      </c>
    </row>
    <row r="99" spans="1:19">
      <c r="A99" s="109"/>
      <c r="B99" s="201"/>
      <c r="C99" s="146"/>
      <c r="H99" s="141" t="s">
        <v>248</v>
      </c>
      <c r="I99" s="141"/>
      <c r="J99" s="141"/>
      <c r="K99" s="141"/>
      <c r="L99" s="141"/>
      <c r="M99" s="141"/>
      <c r="N99" s="141"/>
      <c r="O99" s="141"/>
      <c r="P99" s="141"/>
      <c r="Q99" s="141"/>
      <c r="R99" s="141"/>
      <c r="S99" s="141"/>
    </row>
    <row r="100" spans="1:19" s="146" customFormat="1">
      <c r="A100" s="109"/>
      <c r="B100" s="201"/>
      <c r="G100" s="108" t="s">
        <v>245</v>
      </c>
      <c r="H100" s="146">
        <f t="shared" ref="H100:S100" si="24">H49/ABS(H31+0.000001)</f>
        <v>3.3333333111111111E-5</v>
      </c>
      <c r="I100" s="146">
        <f t="shared" si="24"/>
        <v>3.3333333555555559E-5</v>
      </c>
      <c r="J100" s="146">
        <f t="shared" si="24"/>
        <v>3.3333333555555559E-5</v>
      </c>
      <c r="K100" s="146">
        <f t="shared" si="24"/>
        <v>3.3333333111111111E-5</v>
      </c>
      <c r="L100" s="146">
        <f t="shared" si="24"/>
        <v>0</v>
      </c>
      <c r="M100" s="146">
        <f t="shared" si="24"/>
        <v>0</v>
      </c>
      <c r="N100" s="146">
        <f t="shared" si="24"/>
        <v>0</v>
      </c>
      <c r="O100" s="146">
        <f t="shared" si="24"/>
        <v>0</v>
      </c>
      <c r="P100" s="146">
        <f t="shared" si="24"/>
        <v>0</v>
      </c>
      <c r="Q100" s="146">
        <f t="shared" si="24"/>
        <v>0</v>
      </c>
      <c r="R100" s="146">
        <f t="shared" si="24"/>
        <v>0</v>
      </c>
      <c r="S100" s="146">
        <f t="shared" si="24"/>
        <v>0</v>
      </c>
    </row>
    <row r="101" spans="1:19" s="146" customFormat="1">
      <c r="A101" s="109"/>
      <c r="B101" s="201"/>
      <c r="G101" s="108" t="s">
        <v>245</v>
      </c>
      <c r="H101" s="217">
        <f t="shared" ref="H101:S101" si="25">H47/ABS(H33+0.000001)</f>
        <v>2.4999999875000002E-5</v>
      </c>
      <c r="I101" s="217">
        <f t="shared" si="25"/>
        <v>2.4999999875000002E-5</v>
      </c>
      <c r="J101" s="217">
        <f t="shared" si="25"/>
        <v>2.5000000125000001E-5</v>
      </c>
      <c r="K101" s="217">
        <f t="shared" si="25"/>
        <v>2.5000000125000001E-5</v>
      </c>
      <c r="L101" s="217">
        <f t="shared" si="25"/>
        <v>0</v>
      </c>
      <c r="M101" s="217">
        <f t="shared" si="25"/>
        <v>0</v>
      </c>
      <c r="N101" s="217">
        <f t="shared" si="25"/>
        <v>0</v>
      </c>
      <c r="O101" s="217">
        <f t="shared" si="25"/>
        <v>0</v>
      </c>
      <c r="P101" s="217">
        <f t="shared" si="25"/>
        <v>0</v>
      </c>
      <c r="Q101" s="217">
        <f t="shared" si="25"/>
        <v>0</v>
      </c>
      <c r="R101" s="217">
        <f t="shared" si="25"/>
        <v>0</v>
      </c>
      <c r="S101" s="217">
        <f t="shared" si="25"/>
        <v>0</v>
      </c>
    </row>
    <row r="102" spans="1:19">
      <c r="A102" s="109"/>
      <c r="B102" s="201"/>
      <c r="C102" s="146"/>
      <c r="G102" s="79" t="s">
        <v>243</v>
      </c>
      <c r="H102" s="216">
        <f>IF(MIN(H100,H101)&gt;1,0,MIN(H100,H101))</f>
        <v>2.4999999875000002E-5</v>
      </c>
      <c r="I102" s="216">
        <f t="shared" ref="I102:S102" si="26">IF(MIN(I100,I101)&gt;1,0,MIN(I100,I101))</f>
        <v>2.4999999875000002E-5</v>
      </c>
      <c r="J102" s="216">
        <f t="shared" si="26"/>
        <v>2.5000000125000001E-5</v>
      </c>
      <c r="K102" s="216">
        <f t="shared" si="26"/>
        <v>2.5000000125000001E-5</v>
      </c>
      <c r="L102" s="216">
        <f t="shared" si="26"/>
        <v>0</v>
      </c>
      <c r="M102" s="216">
        <f t="shared" si="26"/>
        <v>0</v>
      </c>
      <c r="N102" s="216">
        <f t="shared" si="26"/>
        <v>0</v>
      </c>
      <c r="O102" s="216">
        <f t="shared" si="26"/>
        <v>0</v>
      </c>
      <c r="P102" s="216">
        <f t="shared" si="26"/>
        <v>0</v>
      </c>
      <c r="Q102" s="216">
        <f t="shared" si="26"/>
        <v>0</v>
      </c>
      <c r="R102" s="216">
        <f t="shared" si="26"/>
        <v>0</v>
      </c>
      <c r="S102" s="216">
        <f t="shared" si="26"/>
        <v>0</v>
      </c>
    </row>
    <row r="103" spans="1:19">
      <c r="A103" s="109"/>
      <c r="B103" s="201"/>
      <c r="C103" s="146"/>
      <c r="H103" s="79" t="s">
        <v>249</v>
      </c>
    </row>
    <row r="104" spans="1:19">
      <c r="A104" s="109"/>
      <c r="B104" s="201"/>
      <c r="C104" s="146"/>
      <c r="G104" s="141" t="s">
        <v>245</v>
      </c>
      <c r="H104" s="79">
        <f t="shared" ref="H104:S104" si="27">H48/ABS(H31+0.000001)</f>
        <v>3.3333333111111111E-5</v>
      </c>
      <c r="I104" s="79">
        <f t="shared" si="27"/>
        <v>3.3333333555555559E-5</v>
      </c>
      <c r="J104" s="79">
        <f t="shared" si="27"/>
        <v>3.3333333555555559E-5</v>
      </c>
      <c r="K104" s="79">
        <f t="shared" si="27"/>
        <v>3.3333333111111111E-5</v>
      </c>
      <c r="L104" s="79">
        <f t="shared" si="27"/>
        <v>0</v>
      </c>
      <c r="M104" s="79">
        <f t="shared" si="27"/>
        <v>0</v>
      </c>
      <c r="N104" s="79">
        <f t="shared" si="27"/>
        <v>0</v>
      </c>
      <c r="O104" s="79">
        <f t="shared" si="27"/>
        <v>0</v>
      </c>
      <c r="P104" s="79">
        <f t="shared" si="27"/>
        <v>0</v>
      </c>
      <c r="Q104" s="79">
        <f t="shared" si="27"/>
        <v>0</v>
      </c>
      <c r="R104" s="79">
        <f t="shared" si="27"/>
        <v>0</v>
      </c>
      <c r="S104" s="79">
        <f t="shared" si="27"/>
        <v>0</v>
      </c>
    </row>
    <row r="105" spans="1:19">
      <c r="A105" s="109"/>
      <c r="B105" s="201"/>
      <c r="C105" s="146"/>
      <c r="G105" s="141" t="s">
        <v>245</v>
      </c>
      <c r="H105" s="79">
        <f t="shared" ref="H105:S105" si="28">H47/ABS(H32+0.000001)</f>
        <v>5000</v>
      </c>
      <c r="I105" s="79">
        <f t="shared" si="28"/>
        <v>5000</v>
      </c>
      <c r="J105" s="79">
        <f t="shared" si="28"/>
        <v>5000</v>
      </c>
      <c r="K105" s="79">
        <f t="shared" si="28"/>
        <v>5000</v>
      </c>
      <c r="L105" s="79">
        <f t="shared" si="28"/>
        <v>0</v>
      </c>
      <c r="M105" s="79">
        <f t="shared" si="28"/>
        <v>0</v>
      </c>
      <c r="N105" s="79">
        <f t="shared" si="28"/>
        <v>0</v>
      </c>
      <c r="O105" s="79">
        <f t="shared" si="28"/>
        <v>0</v>
      </c>
      <c r="P105" s="79">
        <f t="shared" si="28"/>
        <v>0</v>
      </c>
      <c r="Q105" s="79">
        <f t="shared" si="28"/>
        <v>0</v>
      </c>
      <c r="R105" s="79">
        <f t="shared" si="28"/>
        <v>0</v>
      </c>
      <c r="S105" s="79">
        <f t="shared" si="28"/>
        <v>0</v>
      </c>
    </row>
    <row r="106" spans="1:19">
      <c r="A106" s="109"/>
      <c r="B106" s="201"/>
      <c r="C106" s="146"/>
      <c r="G106" s="79" t="s">
        <v>243</v>
      </c>
      <c r="H106" s="216">
        <f>IF(MIN(H104,H105)&gt;1,0,MIN(H104,H105))</f>
        <v>3.3333333111111111E-5</v>
      </c>
      <c r="I106" s="216">
        <f t="shared" ref="I106:S106" si="29">IF(MIN(I104,I105)&gt;1,0,MIN(I104,I105))</f>
        <v>3.3333333555555559E-5</v>
      </c>
      <c r="J106" s="216">
        <f t="shared" si="29"/>
        <v>3.3333333555555559E-5</v>
      </c>
      <c r="K106" s="216">
        <f t="shared" si="29"/>
        <v>3.3333333111111111E-5</v>
      </c>
      <c r="L106" s="216">
        <f t="shared" si="29"/>
        <v>0</v>
      </c>
      <c r="M106" s="216">
        <f t="shared" si="29"/>
        <v>0</v>
      </c>
      <c r="N106" s="216">
        <f t="shared" si="29"/>
        <v>0</v>
      </c>
      <c r="O106" s="216">
        <f t="shared" si="29"/>
        <v>0</v>
      </c>
      <c r="P106" s="216">
        <f t="shared" si="29"/>
        <v>0</v>
      </c>
      <c r="Q106" s="216">
        <f t="shared" si="29"/>
        <v>0</v>
      </c>
      <c r="R106" s="216">
        <f t="shared" si="29"/>
        <v>0</v>
      </c>
      <c r="S106" s="216">
        <f t="shared" si="29"/>
        <v>0</v>
      </c>
    </row>
    <row r="107" spans="1:19">
      <c r="A107" s="109"/>
      <c r="B107" s="201"/>
      <c r="C107" s="146"/>
    </row>
    <row r="108" spans="1:19">
      <c r="A108" s="109"/>
      <c r="B108" s="201"/>
      <c r="C108" s="146"/>
      <c r="G108" s="215" t="s">
        <v>294</v>
      </c>
      <c r="H108" s="215"/>
      <c r="I108" s="215"/>
      <c r="J108" s="215"/>
      <c r="K108" s="215"/>
      <c r="L108" s="215"/>
      <c r="M108" s="215"/>
      <c r="N108" s="215"/>
      <c r="O108" s="215"/>
      <c r="P108" s="215"/>
    </row>
    <row r="109" spans="1:19">
      <c r="A109" s="109"/>
      <c r="B109" s="201"/>
      <c r="C109" s="146"/>
      <c r="H109" s="96" t="s">
        <v>240</v>
      </c>
      <c r="I109" s="96"/>
      <c r="J109" s="96"/>
      <c r="K109" s="96"/>
      <c r="L109" s="96"/>
      <c r="M109" s="96"/>
      <c r="N109" s="96"/>
      <c r="O109" s="96"/>
      <c r="P109" s="96"/>
      <c r="Q109" s="96"/>
      <c r="R109" s="96"/>
      <c r="S109" s="96"/>
    </row>
    <row r="110" spans="1:19">
      <c r="G110" s="141" t="s">
        <v>245</v>
      </c>
      <c r="H110" s="216">
        <f t="shared" ref="H110:S110" si="30">H56/(H33+0.000001)</f>
        <v>4.9999999750000002E-4</v>
      </c>
      <c r="I110" s="216">
        <f t="shared" si="30"/>
        <v>4.9999999750000002E-4</v>
      </c>
      <c r="J110" s="216">
        <f t="shared" si="30"/>
        <v>-5.000000025E-4</v>
      </c>
      <c r="K110" s="216">
        <f t="shared" si="30"/>
        <v>-5.000000025E-4</v>
      </c>
      <c r="L110" s="216">
        <f t="shared" si="30"/>
        <v>0</v>
      </c>
      <c r="M110" s="216">
        <f t="shared" si="30"/>
        <v>0</v>
      </c>
      <c r="N110" s="216">
        <f t="shared" si="30"/>
        <v>0</v>
      </c>
      <c r="O110" s="216">
        <f t="shared" si="30"/>
        <v>0</v>
      </c>
      <c r="P110" s="216">
        <f t="shared" si="30"/>
        <v>0</v>
      </c>
      <c r="Q110" s="216">
        <f t="shared" si="30"/>
        <v>0</v>
      </c>
      <c r="R110" s="216">
        <f t="shared" si="30"/>
        <v>0</v>
      </c>
      <c r="S110" s="216">
        <f t="shared" si="30"/>
        <v>0</v>
      </c>
    </row>
    <row r="111" spans="1:19">
      <c r="G111" s="141" t="s">
        <v>245</v>
      </c>
      <c r="H111" s="218">
        <f t="shared" ref="H111:S111" si="31">H57/(H32+0.000001)</f>
        <v>100000.00000000001</v>
      </c>
      <c r="I111" s="218">
        <f t="shared" si="31"/>
        <v>100000.00000000001</v>
      </c>
      <c r="J111" s="218">
        <f t="shared" si="31"/>
        <v>100000.00000000001</v>
      </c>
      <c r="K111" s="218">
        <f t="shared" si="31"/>
        <v>100000.00000000001</v>
      </c>
      <c r="L111" s="218">
        <f t="shared" si="31"/>
        <v>0</v>
      </c>
      <c r="M111" s="218">
        <f t="shared" si="31"/>
        <v>0</v>
      </c>
      <c r="N111" s="218">
        <f t="shared" si="31"/>
        <v>0</v>
      </c>
      <c r="O111" s="218">
        <f t="shared" si="31"/>
        <v>0</v>
      </c>
      <c r="P111" s="218">
        <f t="shared" si="31"/>
        <v>0</v>
      </c>
      <c r="Q111" s="218">
        <f t="shared" si="31"/>
        <v>0</v>
      </c>
      <c r="R111" s="218">
        <f t="shared" si="31"/>
        <v>0</v>
      </c>
      <c r="S111" s="218">
        <f t="shared" si="31"/>
        <v>0</v>
      </c>
    </row>
    <row r="112" spans="1:19">
      <c r="G112" s="79" t="s">
        <v>244</v>
      </c>
      <c r="H112" s="136">
        <f>SIGN(H110+0.000000000001)*SIGN(H111+0.000000000001)</f>
        <v>1</v>
      </c>
      <c r="I112" s="136">
        <f t="shared" ref="I112:S112" si="32">SIGN(I110+0.000000000001)*SIGN(I111+0.000000000001)</f>
        <v>1</v>
      </c>
      <c r="J112" s="136">
        <f t="shared" si="32"/>
        <v>-1</v>
      </c>
      <c r="K112" s="136">
        <f t="shared" si="32"/>
        <v>-1</v>
      </c>
      <c r="L112" s="136">
        <f t="shared" si="32"/>
        <v>1</v>
      </c>
      <c r="M112" s="136">
        <f t="shared" si="32"/>
        <v>1</v>
      </c>
      <c r="N112" s="136">
        <f t="shared" si="32"/>
        <v>1</v>
      </c>
      <c r="O112" s="136">
        <f t="shared" si="32"/>
        <v>1</v>
      </c>
      <c r="P112" s="136">
        <f t="shared" si="32"/>
        <v>1</v>
      </c>
      <c r="Q112" s="136">
        <f t="shared" si="32"/>
        <v>1</v>
      </c>
      <c r="R112" s="136">
        <f t="shared" si="32"/>
        <v>1</v>
      </c>
      <c r="S112" s="136">
        <f t="shared" si="32"/>
        <v>1</v>
      </c>
    </row>
    <row r="113" spans="1:19">
      <c r="G113" s="79" t="s">
        <v>243</v>
      </c>
      <c r="H113" s="216">
        <f>IF(H112*MIN(ABS(H110),ABS(H111))&gt;1,0,H112*MIN(ABS(H110),ABS(H111)))</f>
        <v>4.9999999750000002E-4</v>
      </c>
      <c r="I113" s="216">
        <f t="shared" ref="I113:S113" si="33">IF(I112*MIN(ABS(I110),ABS(I111))&gt;1,0,I112*MIN(ABS(I110),ABS(I111)))</f>
        <v>4.9999999750000002E-4</v>
      </c>
      <c r="J113" s="216">
        <f t="shared" si="33"/>
        <v>-5.000000025E-4</v>
      </c>
      <c r="K113" s="216">
        <f t="shared" si="33"/>
        <v>-5.000000025E-4</v>
      </c>
      <c r="L113" s="216">
        <f t="shared" si="33"/>
        <v>0</v>
      </c>
      <c r="M113" s="216">
        <f t="shared" si="33"/>
        <v>0</v>
      </c>
      <c r="N113" s="216">
        <f t="shared" si="33"/>
        <v>0</v>
      </c>
      <c r="O113" s="216">
        <f t="shared" si="33"/>
        <v>0</v>
      </c>
      <c r="P113" s="216">
        <f t="shared" si="33"/>
        <v>0</v>
      </c>
      <c r="Q113" s="216">
        <f t="shared" si="33"/>
        <v>0</v>
      </c>
      <c r="R113" s="216">
        <f t="shared" si="33"/>
        <v>0</v>
      </c>
      <c r="S113" s="216">
        <f t="shared" si="33"/>
        <v>0</v>
      </c>
    </row>
    <row r="114" spans="1:19">
      <c r="H114" s="96" t="s">
        <v>241</v>
      </c>
      <c r="I114" s="96"/>
      <c r="J114" s="96"/>
      <c r="K114" s="96"/>
      <c r="L114" s="96"/>
      <c r="M114" s="96"/>
      <c r="N114" s="96"/>
      <c r="O114" s="96"/>
      <c r="P114" s="96"/>
      <c r="Q114" s="96"/>
      <c r="R114" s="96"/>
      <c r="S114" s="96"/>
    </row>
    <row r="115" spans="1:19" s="146" customFormat="1">
      <c r="A115" s="79"/>
      <c r="B115" s="79"/>
      <c r="C115" s="79"/>
      <c r="G115" s="108" t="s">
        <v>245</v>
      </c>
      <c r="H115" s="146">
        <f t="shared" ref="H115:S115" si="34">-H57/(H31+0.000001)</f>
        <v>-6.6666666222222227E-4</v>
      </c>
      <c r="I115" s="146">
        <f t="shared" si="34"/>
        <v>6.6666667111111113E-4</v>
      </c>
      <c r="J115" s="146">
        <f t="shared" si="34"/>
        <v>6.6666667111111113E-4</v>
      </c>
      <c r="K115" s="146">
        <f t="shared" si="34"/>
        <v>-6.6666666222222227E-4</v>
      </c>
      <c r="L115" s="146">
        <f t="shared" si="34"/>
        <v>0</v>
      </c>
      <c r="M115" s="146">
        <f t="shared" si="34"/>
        <v>0</v>
      </c>
      <c r="N115" s="146">
        <f t="shared" si="34"/>
        <v>0</v>
      </c>
      <c r="O115" s="146">
        <f t="shared" si="34"/>
        <v>0</v>
      </c>
      <c r="P115" s="146">
        <f t="shared" si="34"/>
        <v>0</v>
      </c>
      <c r="Q115" s="146">
        <f t="shared" si="34"/>
        <v>0</v>
      </c>
      <c r="R115" s="146">
        <f t="shared" si="34"/>
        <v>0</v>
      </c>
      <c r="S115" s="146">
        <f t="shared" si="34"/>
        <v>0</v>
      </c>
    </row>
    <row r="116" spans="1:19" s="146" customFormat="1">
      <c r="A116" s="79"/>
      <c r="B116" s="79"/>
      <c r="C116" s="79"/>
      <c r="G116" s="108" t="s">
        <v>245</v>
      </c>
      <c r="H116" s="146">
        <f t="shared" ref="H116:S116" si="35">H55/(H33+0.000001)</f>
        <v>4.9999999750000002E-4</v>
      </c>
      <c r="I116" s="146">
        <f t="shared" si="35"/>
        <v>4.9999999750000002E-4</v>
      </c>
      <c r="J116" s="146">
        <f t="shared" si="35"/>
        <v>-5.000000025E-4</v>
      </c>
      <c r="K116" s="146">
        <f t="shared" si="35"/>
        <v>-5.000000025E-4</v>
      </c>
      <c r="L116" s="146">
        <f t="shared" si="35"/>
        <v>0</v>
      </c>
      <c r="M116" s="146">
        <f t="shared" si="35"/>
        <v>0</v>
      </c>
      <c r="N116" s="146">
        <f t="shared" si="35"/>
        <v>0</v>
      </c>
      <c r="O116" s="146">
        <f t="shared" si="35"/>
        <v>0</v>
      </c>
      <c r="P116" s="146">
        <f t="shared" si="35"/>
        <v>0</v>
      </c>
      <c r="Q116" s="146">
        <f t="shared" si="35"/>
        <v>0</v>
      </c>
      <c r="R116" s="146">
        <f t="shared" si="35"/>
        <v>0</v>
      </c>
      <c r="S116" s="146">
        <f t="shared" si="35"/>
        <v>0</v>
      </c>
    </row>
    <row r="117" spans="1:19" s="146" customFormat="1">
      <c r="G117" s="146" t="s">
        <v>244</v>
      </c>
      <c r="H117" s="219">
        <f>SIGN(H115+0.000000000001)*SIGN(H116+0.000000000001)</f>
        <v>-1</v>
      </c>
      <c r="I117" s="219">
        <f t="shared" ref="I117:S117" si="36">SIGN(I115+0.000000000001)*SIGN(I116+0.000000000001)</f>
        <v>1</v>
      </c>
      <c r="J117" s="219">
        <f t="shared" si="36"/>
        <v>-1</v>
      </c>
      <c r="K117" s="219">
        <f t="shared" si="36"/>
        <v>1</v>
      </c>
      <c r="L117" s="219">
        <f t="shared" si="36"/>
        <v>1</v>
      </c>
      <c r="M117" s="219">
        <f t="shared" si="36"/>
        <v>1</v>
      </c>
      <c r="N117" s="219">
        <f t="shared" si="36"/>
        <v>1</v>
      </c>
      <c r="O117" s="219">
        <f t="shared" si="36"/>
        <v>1</v>
      </c>
      <c r="P117" s="219">
        <f t="shared" si="36"/>
        <v>1</v>
      </c>
      <c r="Q117" s="219">
        <f t="shared" si="36"/>
        <v>1</v>
      </c>
      <c r="R117" s="219">
        <f t="shared" si="36"/>
        <v>1</v>
      </c>
      <c r="S117" s="219">
        <f t="shared" si="36"/>
        <v>1</v>
      </c>
    </row>
    <row r="118" spans="1:19" s="146" customFormat="1">
      <c r="G118" s="146" t="s">
        <v>243</v>
      </c>
      <c r="H118" s="220">
        <f>IF(H117*MIN(ABS(H115),ABS(H116))&gt;1,0,H117*MIN(ABS(H115),ABS(H116)))</f>
        <v>-4.9999999750000002E-4</v>
      </c>
      <c r="I118" s="220">
        <f t="shared" ref="I118:S118" si="37">IF(I117*MIN(ABS(I115),ABS(I116))&gt;1,0,I117*MIN(ABS(I115),ABS(I116)))</f>
        <v>4.9999999750000002E-4</v>
      </c>
      <c r="J118" s="220">
        <f t="shared" si="37"/>
        <v>-5.000000025E-4</v>
      </c>
      <c r="K118" s="220">
        <f t="shared" si="37"/>
        <v>5.000000025E-4</v>
      </c>
      <c r="L118" s="220">
        <f t="shared" si="37"/>
        <v>0</v>
      </c>
      <c r="M118" s="220">
        <f t="shared" si="37"/>
        <v>0</v>
      </c>
      <c r="N118" s="220">
        <f t="shared" si="37"/>
        <v>0</v>
      </c>
      <c r="O118" s="220">
        <f t="shared" si="37"/>
        <v>0</v>
      </c>
      <c r="P118" s="220">
        <f t="shared" si="37"/>
        <v>0</v>
      </c>
      <c r="Q118" s="220">
        <f t="shared" si="37"/>
        <v>0</v>
      </c>
      <c r="R118" s="220">
        <f t="shared" si="37"/>
        <v>0</v>
      </c>
      <c r="S118" s="220">
        <f t="shared" si="37"/>
        <v>0</v>
      </c>
    </row>
    <row r="119" spans="1:19">
      <c r="H119" s="96" t="s">
        <v>242</v>
      </c>
      <c r="I119" s="96"/>
      <c r="J119" s="96"/>
      <c r="K119" s="96"/>
      <c r="L119" s="96"/>
      <c r="M119" s="96"/>
      <c r="N119" s="96"/>
      <c r="O119" s="96"/>
      <c r="P119" s="96"/>
      <c r="Q119" s="96"/>
      <c r="R119" s="96"/>
      <c r="S119" s="96"/>
    </row>
    <row r="120" spans="1:19">
      <c r="B120" s="245"/>
      <c r="G120" s="141" t="s">
        <v>245</v>
      </c>
      <c r="H120" s="216">
        <f t="shared" ref="H120:S120" si="38">H56/(H31+0.000001)</f>
        <v>6.6666666222222227E-4</v>
      </c>
      <c r="I120" s="216">
        <f t="shared" si="38"/>
        <v>-6.6666667111111113E-4</v>
      </c>
      <c r="J120" s="216">
        <f t="shared" si="38"/>
        <v>-6.6666667111111113E-4</v>
      </c>
      <c r="K120" s="216">
        <f t="shared" si="38"/>
        <v>6.6666666222222227E-4</v>
      </c>
      <c r="L120" s="216">
        <f t="shared" si="38"/>
        <v>0</v>
      </c>
      <c r="M120" s="216">
        <f t="shared" si="38"/>
        <v>0</v>
      </c>
      <c r="N120" s="216">
        <f t="shared" si="38"/>
        <v>0</v>
      </c>
      <c r="O120" s="216">
        <f t="shared" si="38"/>
        <v>0</v>
      </c>
      <c r="P120" s="216">
        <f t="shared" si="38"/>
        <v>0</v>
      </c>
      <c r="Q120" s="216">
        <f t="shared" si="38"/>
        <v>0</v>
      </c>
      <c r="R120" s="216">
        <f t="shared" si="38"/>
        <v>0</v>
      </c>
      <c r="S120" s="216">
        <f t="shared" si="38"/>
        <v>0</v>
      </c>
    </row>
    <row r="121" spans="1:19">
      <c r="G121" s="141" t="s">
        <v>245</v>
      </c>
      <c r="H121" s="79">
        <f t="shared" ref="H121:S121" si="39">H55/(H32+0.000001)</f>
        <v>100000.00000000001</v>
      </c>
      <c r="I121" s="79">
        <f t="shared" si="39"/>
        <v>100000.00000000001</v>
      </c>
      <c r="J121" s="79">
        <f t="shared" si="39"/>
        <v>100000.00000000001</v>
      </c>
      <c r="K121" s="79">
        <f t="shared" si="39"/>
        <v>100000.00000000001</v>
      </c>
      <c r="L121" s="79">
        <f t="shared" si="39"/>
        <v>0</v>
      </c>
      <c r="M121" s="79">
        <f t="shared" si="39"/>
        <v>0</v>
      </c>
      <c r="N121" s="79">
        <f t="shared" si="39"/>
        <v>0</v>
      </c>
      <c r="O121" s="79">
        <f t="shared" si="39"/>
        <v>0</v>
      </c>
      <c r="P121" s="79">
        <f t="shared" si="39"/>
        <v>0</v>
      </c>
      <c r="Q121" s="79">
        <f t="shared" si="39"/>
        <v>0</v>
      </c>
      <c r="R121" s="79">
        <f t="shared" si="39"/>
        <v>0</v>
      </c>
      <c r="S121" s="79">
        <f t="shared" si="39"/>
        <v>0</v>
      </c>
    </row>
    <row r="122" spans="1:19">
      <c r="G122" s="79" t="s">
        <v>244</v>
      </c>
      <c r="H122" s="136">
        <f>SIGN(H120+0.000000000001)*SIGN(H121+0.000000000001)</f>
        <v>1</v>
      </c>
      <c r="I122" s="136">
        <f t="shared" ref="I122:S122" si="40">SIGN(I120+0.000000000001)*SIGN(I121+0.000000000001)</f>
        <v>-1</v>
      </c>
      <c r="J122" s="136">
        <f t="shared" si="40"/>
        <v>-1</v>
      </c>
      <c r="K122" s="136">
        <f t="shared" si="40"/>
        <v>1</v>
      </c>
      <c r="L122" s="136">
        <f t="shared" si="40"/>
        <v>1</v>
      </c>
      <c r="M122" s="136">
        <f t="shared" si="40"/>
        <v>1</v>
      </c>
      <c r="N122" s="136">
        <f t="shared" si="40"/>
        <v>1</v>
      </c>
      <c r="O122" s="136">
        <f t="shared" si="40"/>
        <v>1</v>
      </c>
      <c r="P122" s="136">
        <f t="shared" si="40"/>
        <v>1</v>
      </c>
      <c r="Q122" s="136">
        <f t="shared" si="40"/>
        <v>1</v>
      </c>
      <c r="R122" s="136">
        <f t="shared" si="40"/>
        <v>1</v>
      </c>
      <c r="S122" s="136">
        <f t="shared" si="40"/>
        <v>1</v>
      </c>
    </row>
    <row r="123" spans="1:19">
      <c r="G123" s="79" t="s">
        <v>243</v>
      </c>
      <c r="H123" s="216">
        <f>IF(H122*MIN(ABS(H120),ABS(H121))&gt;1,0,H122*MIN(ABS(H120),ABS(H121)))</f>
        <v>6.6666666222222227E-4</v>
      </c>
      <c r="I123" s="216">
        <f t="shared" ref="I123:S123" si="41">IF(I122*MIN(ABS(I120),ABS(I121))&gt;1,0,I122*MIN(ABS(I120),ABS(I121)))</f>
        <v>-6.6666667111111113E-4</v>
      </c>
      <c r="J123" s="216">
        <f t="shared" si="41"/>
        <v>-6.6666667111111113E-4</v>
      </c>
      <c r="K123" s="216">
        <f t="shared" si="41"/>
        <v>6.6666666222222227E-4</v>
      </c>
      <c r="L123" s="216">
        <f t="shared" si="41"/>
        <v>0</v>
      </c>
      <c r="M123" s="216">
        <f t="shared" si="41"/>
        <v>0</v>
      </c>
      <c r="N123" s="216">
        <f t="shared" si="41"/>
        <v>0</v>
      </c>
      <c r="O123" s="216">
        <f t="shared" si="41"/>
        <v>0</v>
      </c>
      <c r="P123" s="216">
        <f t="shared" si="41"/>
        <v>0</v>
      </c>
      <c r="Q123" s="216">
        <f t="shared" si="41"/>
        <v>0</v>
      </c>
      <c r="R123" s="216">
        <f t="shared" si="41"/>
        <v>0</v>
      </c>
      <c r="S123" s="216">
        <f t="shared" si="41"/>
        <v>0</v>
      </c>
    </row>
    <row r="132" spans="1:3">
      <c r="A132" s="146"/>
      <c r="B132" s="146"/>
      <c r="C132" s="146"/>
    </row>
    <row r="133" spans="1:3">
      <c r="A133" s="146"/>
      <c r="B133" s="146"/>
      <c r="C133" s="146"/>
    </row>
    <row r="134" spans="1:3">
      <c r="A134" s="146"/>
      <c r="B134" s="146"/>
      <c r="C134" s="146"/>
    </row>
    <row r="135" spans="1:3">
      <c r="A135" s="146"/>
      <c r="B135" s="146"/>
      <c r="C135" s="146"/>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26"/>
  <sheetViews>
    <sheetView topLeftCell="C26" zoomScale="155" zoomScaleNormal="155" zoomScalePageLayoutView="75" workbookViewId="0">
      <selection activeCell="K33" sqref="F33:K33"/>
    </sheetView>
  </sheetViews>
  <sheetFormatPr baseColWidth="10" defaultColWidth="11" defaultRowHeight="16"/>
  <cols>
    <col min="1" max="1" width="45.33203125" style="79" customWidth="1"/>
    <col min="2" max="2" width="22.6640625" style="79" customWidth="1"/>
    <col min="3" max="3" width="38.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Loads'!A78</f>
        <v>CS 3</v>
      </c>
      <c r="B1" s="197" t="str">
        <f>'CSs and Loads'!A88</f>
        <v>X-Axis carriage</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80" t="s">
        <v>305</v>
      </c>
      <c r="B4" s="111" t="s">
        <v>329</v>
      </c>
      <c r="C4" s="80" t="s">
        <v>355</v>
      </c>
      <c r="D4" s="161"/>
      <c r="E4" s="375" t="s">
        <v>334</v>
      </c>
      <c r="F4" s="376"/>
      <c r="G4" s="376"/>
      <c r="H4" s="376"/>
      <c r="I4" s="376"/>
      <c r="J4" s="376"/>
      <c r="K4" s="376"/>
      <c r="L4" s="376"/>
      <c r="M4" s="377"/>
      <c r="N4" s="175"/>
      <c r="R4" s="201"/>
    </row>
    <row r="5" spans="1:18">
      <c r="A5" s="107" t="s">
        <v>325</v>
      </c>
      <c r="B5" s="111" t="s">
        <v>296</v>
      </c>
      <c r="C5" s="96" t="s">
        <v>353</v>
      </c>
      <c r="D5" s="161">
        <v>25</v>
      </c>
      <c r="E5" s="176" t="s">
        <v>268</v>
      </c>
      <c r="F5" s="240" t="s">
        <v>271</v>
      </c>
      <c r="G5" s="139">
        <f>B11^3/(3*B7*B18)</f>
        <v>1.912930608115999E-5</v>
      </c>
      <c r="H5" s="79">
        <v>0</v>
      </c>
      <c r="I5" s="79">
        <v>0</v>
      </c>
      <c r="J5" s="79">
        <v>0</v>
      </c>
      <c r="K5" s="134">
        <f>G9</f>
        <v>-1.4346979560869992E-7</v>
      </c>
      <c r="L5" s="79">
        <v>0</v>
      </c>
      <c r="M5" s="177" t="s">
        <v>262</v>
      </c>
      <c r="N5" s="175"/>
      <c r="R5" s="201"/>
    </row>
    <row r="6" spans="1:18">
      <c r="A6" s="107" t="s">
        <v>328</v>
      </c>
      <c r="B6" s="111" t="s">
        <v>272</v>
      </c>
      <c r="C6" s="96" t="s">
        <v>32</v>
      </c>
      <c r="D6" s="161">
        <f>1770*9.8</f>
        <v>17346</v>
      </c>
      <c r="E6" s="176" t="s">
        <v>269</v>
      </c>
      <c r="F6" s="240"/>
      <c r="G6" s="79">
        <v>0</v>
      </c>
      <c r="H6" s="134">
        <f>B11^3/(3*B7*B17)</f>
        <v>1.912930608115999E-5</v>
      </c>
      <c r="I6" s="79">
        <v>0</v>
      </c>
      <c r="J6" s="134">
        <f>B11^2/(2*B7*B17)</f>
        <v>1.4346979560869992E-7</v>
      </c>
      <c r="K6" s="79">
        <v>0</v>
      </c>
      <c r="L6" s="79">
        <v>0</v>
      </c>
      <c r="M6" s="177" t="s">
        <v>263</v>
      </c>
      <c r="N6" s="175"/>
      <c r="R6" s="201"/>
    </row>
    <row r="7" spans="1:18">
      <c r="A7" s="96" t="s">
        <v>277</v>
      </c>
      <c r="B7" s="80">
        <f>69000</f>
        <v>69000</v>
      </c>
      <c r="C7" s="96" t="s">
        <v>230</v>
      </c>
      <c r="D7" s="161">
        <f>647*1000</f>
        <v>647000</v>
      </c>
      <c r="E7" s="176" t="s">
        <v>270</v>
      </c>
      <c r="F7" s="240"/>
      <c r="G7" s="79">
        <v>0</v>
      </c>
      <c r="H7" s="79">
        <v>0</v>
      </c>
      <c r="I7" s="134">
        <f>B12/(B16*B7)</f>
        <v>5.7971130435014511E-6</v>
      </c>
      <c r="J7" s="79">
        <v>0</v>
      </c>
      <c r="K7" s="79">
        <v>0</v>
      </c>
      <c r="L7" s="79">
        <v>0</v>
      </c>
      <c r="M7" s="177" t="s">
        <v>264</v>
      </c>
      <c r="N7" s="175"/>
      <c r="R7" s="201"/>
    </row>
    <row r="8" spans="1:18">
      <c r="A8" s="96" t="s">
        <v>273</v>
      </c>
      <c r="B8" s="80">
        <v>0.33400000000000002</v>
      </c>
      <c r="C8" s="96" t="s">
        <v>33</v>
      </c>
      <c r="D8" s="161">
        <v>3</v>
      </c>
      <c r="E8" s="176" t="s">
        <v>259</v>
      </c>
      <c r="F8" s="240"/>
      <c r="G8" s="140"/>
      <c r="H8" s="134">
        <f>J6</f>
        <v>1.4346979560869992E-7</v>
      </c>
      <c r="I8" s="79">
        <v>0</v>
      </c>
      <c r="J8" s="134">
        <f>B11/(B7*B17)</f>
        <v>1.4346979560869994E-9</v>
      </c>
      <c r="K8" s="79">
        <v>0</v>
      </c>
      <c r="L8" s="79">
        <v>0</v>
      </c>
      <c r="M8" s="177" t="s">
        <v>265</v>
      </c>
      <c r="N8" s="175"/>
      <c r="R8" s="201"/>
    </row>
    <row r="9" spans="1:18">
      <c r="A9" s="96" t="s">
        <v>278</v>
      </c>
      <c r="B9" s="92">
        <f>B7/(2*(1+B8))</f>
        <v>25862.068965517239</v>
      </c>
      <c r="C9" s="96" t="s">
        <v>34</v>
      </c>
      <c r="D9" s="161">
        <v>0.01</v>
      </c>
      <c r="E9" s="176" t="s">
        <v>261</v>
      </c>
      <c r="F9" s="240"/>
      <c r="G9" s="134">
        <f>-1*B11^2/(2*B7*B18)</f>
        <v>-1.4346979560869992E-7</v>
      </c>
      <c r="H9" s="79">
        <v>0</v>
      </c>
      <c r="I9" s="79">
        <v>0</v>
      </c>
      <c r="J9" s="79">
        <v>0</v>
      </c>
      <c r="K9" s="134">
        <f>B11/(B7*B18)</f>
        <v>1.4346979560869994E-9</v>
      </c>
      <c r="L9" s="79">
        <v>0</v>
      </c>
      <c r="M9" s="177" t="s">
        <v>266</v>
      </c>
      <c r="N9" s="175"/>
      <c r="R9" s="201"/>
    </row>
    <row r="10" spans="1:18" ht="17" thickBot="1">
      <c r="A10" s="203" t="s">
        <v>330</v>
      </c>
      <c r="B10" s="80"/>
      <c r="C10" s="96" t="s">
        <v>274</v>
      </c>
      <c r="D10" s="229">
        <f>D6/(D8*D9)</f>
        <v>578200</v>
      </c>
      <c r="E10" s="178" t="s">
        <v>260</v>
      </c>
      <c r="F10" s="241"/>
      <c r="G10" s="158">
        <v>0</v>
      </c>
      <c r="H10" s="158">
        <v>0</v>
      </c>
      <c r="I10" s="158">
        <v>0</v>
      </c>
      <c r="J10" s="158">
        <v>0</v>
      </c>
      <c r="K10" s="158">
        <v>0</v>
      </c>
      <c r="L10" s="183">
        <f>B11/(B19*B9)</f>
        <v>2.5545048416650632E-9</v>
      </c>
      <c r="M10" s="180" t="s">
        <v>267</v>
      </c>
      <c r="N10" s="175"/>
      <c r="R10" s="201"/>
    </row>
    <row r="11" spans="1:18">
      <c r="A11" s="96" t="s">
        <v>335</v>
      </c>
      <c r="B11" s="133">
        <f>Summary!L17+Summary!M17</f>
        <v>200</v>
      </c>
      <c r="C11" s="96" t="s">
        <v>35</v>
      </c>
      <c r="D11" s="80">
        <v>25</v>
      </c>
      <c r="E11" s="155"/>
      <c r="F11" s="155"/>
      <c r="G11" s="155"/>
      <c r="H11" s="155"/>
      <c r="I11" s="154"/>
      <c r="J11" s="155"/>
      <c r="K11" s="155"/>
      <c r="L11" s="155"/>
      <c r="M11" s="155"/>
      <c r="O11" s="141"/>
      <c r="R11" s="201"/>
    </row>
    <row r="12" spans="1:18">
      <c r="A12" s="96" t="s">
        <v>221</v>
      </c>
      <c r="B12" s="81">
        <v>500</v>
      </c>
      <c r="C12" s="96" t="s">
        <v>365</v>
      </c>
      <c r="D12" s="95">
        <f>D7*D11^2/4</f>
        <v>101093750</v>
      </c>
      <c r="I12" s="80"/>
      <c r="O12" s="141"/>
      <c r="R12" s="201"/>
    </row>
    <row r="13" spans="1:18">
      <c r="A13" s="96" t="s">
        <v>350</v>
      </c>
      <c r="B13" s="80">
        <f>4*25.4</f>
        <v>101.6</v>
      </c>
      <c r="C13" s="96" t="s">
        <v>275</v>
      </c>
      <c r="D13" s="95">
        <f>D7*D11^2/12</f>
        <v>33697916.666666664</v>
      </c>
      <c r="I13" s="80"/>
      <c r="O13" s="141"/>
      <c r="R13" s="201"/>
    </row>
    <row r="14" spans="1:18">
      <c r="A14" s="96" t="s">
        <v>347</v>
      </c>
      <c r="B14" s="80">
        <f>4*25.4</f>
        <v>101.6</v>
      </c>
      <c r="C14" s="96" t="s">
        <v>276</v>
      </c>
      <c r="D14" s="92">
        <f>D13</f>
        <v>33697916.666666664</v>
      </c>
      <c r="I14" s="80"/>
      <c r="O14" s="141"/>
      <c r="R14" s="201"/>
    </row>
    <row r="15" spans="1:18">
      <c r="A15" s="96" t="s">
        <v>257</v>
      </c>
      <c r="B15" s="80">
        <f>0.125*25.4</f>
        <v>3.1749999999999998</v>
      </c>
      <c r="C15" s="107" t="s">
        <v>354</v>
      </c>
      <c r="D15" s="80"/>
      <c r="I15" s="80"/>
      <c r="O15" s="141"/>
      <c r="R15" s="201"/>
    </row>
    <row r="16" spans="1:18">
      <c r="A16" s="96" t="s">
        <v>258</v>
      </c>
      <c r="B16" s="92">
        <f>B13*B14-(B13-2*B15)*(B14-2*B15)</f>
        <v>1249.9974999999995</v>
      </c>
      <c r="C16" s="108" t="s">
        <v>253</v>
      </c>
      <c r="D16" s="111" t="s">
        <v>10</v>
      </c>
      <c r="I16" s="80"/>
      <c r="O16" s="141"/>
      <c r="R16" s="201"/>
    </row>
    <row r="17" spans="1:19">
      <c r="A17" s="250" t="s">
        <v>378</v>
      </c>
      <c r="B17" s="93">
        <f>(B14^3*B13-(B13-2*B15)*(B14-2*B15)^3)/12</f>
        <v>2020321.2197661449</v>
      </c>
      <c r="C17" s="109" t="s">
        <v>255</v>
      </c>
      <c r="D17" s="80">
        <v>12</v>
      </c>
      <c r="I17" s="80"/>
      <c r="O17" s="141"/>
      <c r="R17" s="201"/>
    </row>
    <row r="18" spans="1:19">
      <c r="A18" s="250" t="s">
        <v>379</v>
      </c>
      <c r="B18" s="93">
        <f>(B14*B13^3-(B13-2*B15)^3*(B14-2*B15))/12</f>
        <v>2020321.2197661449</v>
      </c>
      <c r="C18" s="109" t="s">
        <v>221</v>
      </c>
      <c r="D18" s="92">
        <v>100</v>
      </c>
      <c r="I18" s="80"/>
      <c r="O18" s="141"/>
      <c r="R18" s="201"/>
    </row>
    <row r="19" spans="1:19">
      <c r="A19" s="96" t="s">
        <v>223</v>
      </c>
      <c r="B19" s="93">
        <f>2*B15*B15*(B13-B15)^2*(B14-B15)^2/(B13*B15+B14*B15-2*B15^2)</f>
        <v>3027331.6406371091</v>
      </c>
      <c r="C19" s="96" t="s">
        <v>54</v>
      </c>
      <c r="D19" s="110">
        <v>200000</v>
      </c>
      <c r="I19" s="80"/>
      <c r="O19" s="141"/>
      <c r="R19" s="201"/>
    </row>
    <row r="20" spans="1:19">
      <c r="A20" s="96" t="s">
        <v>323</v>
      </c>
      <c r="B20" s="92">
        <f>B18/B16</f>
        <v>1616.2602083333331</v>
      </c>
      <c r="C20" s="109" t="s">
        <v>254</v>
      </c>
      <c r="D20" s="93">
        <f t="shared" ref="D20" si="0">PI()*D17^2/4*D19/D18</f>
        <v>226194.67105846509</v>
      </c>
      <c r="I20" s="80"/>
      <c r="O20" s="141"/>
      <c r="R20" s="201"/>
    </row>
    <row r="21" spans="1:19" ht="17" thickBot="1">
      <c r="A21" s="231" t="s">
        <v>298</v>
      </c>
      <c r="B21" s="237">
        <f>3*B7*B18/B12^3</f>
        <v>3345.6519399327358</v>
      </c>
      <c r="C21" s="231" t="s">
        <v>304</v>
      </c>
      <c r="D21" s="221">
        <v>3</v>
      </c>
      <c r="E21" s="168"/>
      <c r="F21" s="168"/>
      <c r="G21" s="168"/>
      <c r="H21" s="168"/>
      <c r="I21" s="221"/>
      <c r="J21" s="168"/>
      <c r="K21" s="168"/>
      <c r="L21" s="168"/>
      <c r="M21" s="168"/>
      <c r="O21" s="141"/>
      <c r="R21" s="201"/>
    </row>
    <row r="22" spans="1:19" ht="17" thickBot="1">
      <c r="A22" s="396" t="s">
        <v>342</v>
      </c>
      <c r="B22" s="397"/>
      <c r="C22" s="397"/>
      <c r="D22" s="397"/>
      <c r="E22" s="397"/>
      <c r="F22" s="397"/>
      <c r="G22" s="397"/>
      <c r="H22" s="397"/>
      <c r="I22" s="397"/>
      <c r="J22" s="397"/>
      <c r="K22" s="397"/>
      <c r="L22" s="397"/>
      <c r="M22" s="398"/>
      <c r="N22" s="175"/>
      <c r="O22" s="141"/>
      <c r="R22" s="201"/>
    </row>
    <row r="23" spans="1:19" ht="34">
      <c r="A23" s="263" t="s">
        <v>360</v>
      </c>
      <c r="B23" s="224"/>
      <c r="C23" s="232" t="s">
        <v>251</v>
      </c>
      <c r="D23" s="155"/>
      <c r="E23" s="155"/>
      <c r="F23" s="155"/>
      <c r="G23" s="155"/>
      <c r="H23" s="154"/>
      <c r="I23" s="154"/>
      <c r="J23" s="155"/>
      <c r="K23" s="155"/>
      <c r="L23" s="155"/>
      <c r="M23" s="155"/>
      <c r="O23" s="141"/>
      <c r="R23" s="201"/>
    </row>
    <row r="24" spans="1:19">
      <c r="A24" s="96" t="s">
        <v>3</v>
      </c>
      <c r="B24" s="101"/>
      <c r="C24" s="146"/>
      <c r="O24" s="201"/>
      <c r="P24" s="201"/>
      <c r="Q24" s="201"/>
      <c r="R24" s="201"/>
    </row>
    <row r="25" spans="1:19">
      <c r="A25" s="209" t="s">
        <v>111</v>
      </c>
      <c r="B25" s="144">
        <f>SUM(H35:S35)+C25</f>
        <v>2588000</v>
      </c>
      <c r="C25" s="210">
        <v>0</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75398.223686155034</v>
      </c>
      <c r="C27" s="228">
        <f>D20/D21</f>
        <v>75398.223686155034</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103924375000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103654791666.66667</v>
      </c>
      <c r="C30" s="210">
        <v>0</v>
      </c>
      <c r="D30" s="85"/>
      <c r="E30" s="85"/>
      <c r="F30" s="85"/>
      <c r="G30" s="80" t="s">
        <v>108</v>
      </c>
      <c r="H30" s="84">
        <v>1</v>
      </c>
      <c r="I30" s="84">
        <f>H30+1</f>
        <v>2</v>
      </c>
      <c r="J30" s="84">
        <f t="shared" ref="J30:R30" si="1">I30+1</f>
        <v>3</v>
      </c>
      <c r="K30" s="84">
        <f t="shared" si="1"/>
        <v>4</v>
      </c>
      <c r="L30" s="84">
        <f t="shared" si="1"/>
        <v>5</v>
      </c>
      <c r="M30" s="84">
        <f t="shared" si="1"/>
        <v>6</v>
      </c>
      <c r="N30" s="84">
        <f t="shared" si="1"/>
        <v>7</v>
      </c>
      <c r="O30" s="84">
        <f t="shared" si="1"/>
        <v>8</v>
      </c>
      <c r="P30" s="84">
        <f>O30+1</f>
        <v>9</v>
      </c>
      <c r="Q30" s="84">
        <f t="shared" si="1"/>
        <v>10</v>
      </c>
      <c r="R30" s="84">
        <f t="shared" si="1"/>
        <v>11</v>
      </c>
      <c r="S30" s="84">
        <f>R30+1</f>
        <v>12</v>
      </c>
    </row>
    <row r="31" spans="1:19">
      <c r="A31" s="209" t="s">
        <v>110</v>
      </c>
      <c r="B31" s="144">
        <f>SUM(H41:S41)+SUM(H45:S45)+C31</f>
        <v>58364791666.666664</v>
      </c>
      <c r="C31" s="210">
        <v>0</v>
      </c>
      <c r="D31" s="85"/>
      <c r="E31" s="85"/>
      <c r="F31" s="85">
        <v>150</v>
      </c>
      <c r="G31" s="96" t="s">
        <v>42</v>
      </c>
      <c r="H31" s="205">
        <f>F31</f>
        <v>150</v>
      </c>
      <c r="I31" s="205">
        <f>-F31</f>
        <v>-150</v>
      </c>
      <c r="J31" s="205">
        <f>-F31</f>
        <v>-150</v>
      </c>
      <c r="K31" s="205">
        <f>F31</f>
        <v>150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v>200</v>
      </c>
      <c r="G33" s="96" t="s">
        <v>44</v>
      </c>
      <c r="H33" s="205">
        <f>F33</f>
        <v>200</v>
      </c>
      <c r="I33" s="205">
        <f>F33</f>
        <v>200</v>
      </c>
      <c r="J33" s="205">
        <f>-F33</f>
        <v>-200</v>
      </c>
      <c r="K33" s="205">
        <f>-F33</f>
        <v>-200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f>D7</f>
        <v>647000</v>
      </c>
      <c r="I35" s="134">
        <f>H35</f>
        <v>647000</v>
      </c>
      <c r="J35" s="134">
        <f>I35</f>
        <v>647000</v>
      </c>
      <c r="K35" s="134">
        <f>J35</f>
        <v>647000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2">I36</f>
        <v>647000</v>
      </c>
      <c r="K36" s="134">
        <f t="shared" si="2"/>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v>0</v>
      </c>
      <c r="I37" s="134">
        <v>0</v>
      </c>
      <c r="J37" s="134">
        <v>0</v>
      </c>
      <c r="K37" s="134">
        <v>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25880000000</v>
      </c>
      <c r="I43" s="144">
        <f t="shared" ref="I43:S43" si="5">I36*I33^2+I37*I32^2</f>
        <v>25880000000</v>
      </c>
      <c r="J43" s="144">
        <f t="shared" si="5"/>
        <v>25880000000</v>
      </c>
      <c r="K43" s="144">
        <f t="shared" si="5"/>
        <v>25880000000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D44" s="210"/>
      <c r="E44" s="210"/>
      <c r="F44" s="210"/>
      <c r="G44" s="96" t="s">
        <v>114</v>
      </c>
      <c r="H44" s="144">
        <f>H35*H33^2+H37*H31^2</f>
        <v>25880000000</v>
      </c>
      <c r="I44" s="144">
        <f t="shared" ref="I44:S44" si="6">I35*I33^2+I37*I31^2</f>
        <v>25880000000</v>
      </c>
      <c r="J44" s="144">
        <f t="shared" si="6"/>
        <v>25880000000</v>
      </c>
      <c r="K44" s="144">
        <f t="shared" si="6"/>
        <v>25880000000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5.0000000000000001E-3</v>
      </c>
      <c r="C45" s="85"/>
      <c r="D45" s="210"/>
      <c r="E45" s="210"/>
      <c r="F45" s="210"/>
      <c r="G45" s="96" t="s">
        <v>110</v>
      </c>
      <c r="H45" s="144">
        <f>H35*H32^2+H36*H31^2</f>
        <v>14557500000</v>
      </c>
      <c r="I45" s="144">
        <f t="shared" ref="I45:S45" si="7">I35*I32^2+I36*I31^2</f>
        <v>14557500000</v>
      </c>
      <c r="J45" s="144">
        <f t="shared" si="7"/>
        <v>14557500000</v>
      </c>
      <c r="K45" s="144">
        <f t="shared" si="7"/>
        <v>14557500000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 t="shared" ref="B46:B47" si="8">SQRT((H48^2+I48^2+J48^2+K48^2+L48^2+M48^2+N48^2+O48^2+P48^2+Q48^2+R48^2+S48^2)/H$28)</f>
        <v>5.0000000000000001E-3</v>
      </c>
      <c r="C46" s="85"/>
      <c r="D46" s="210"/>
      <c r="E46" s="210"/>
      <c r="F46" s="210"/>
      <c r="G46" s="80" t="s">
        <v>293</v>
      </c>
    </row>
    <row r="47" spans="1:19">
      <c r="A47" s="96" t="s">
        <v>117</v>
      </c>
      <c r="B47" s="99">
        <f t="shared" si="8"/>
        <v>5.0000000000000001E-3</v>
      </c>
      <c r="C47" s="85"/>
      <c r="D47" s="192"/>
      <c r="E47" s="192"/>
      <c r="F47" s="192"/>
      <c r="G47" s="96" t="s">
        <v>115</v>
      </c>
      <c r="H47" s="205">
        <f t="shared" ref="H47:K49" si="9">IF(REBS="YES", REB, 0.005)</f>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2.5000000000000001E-5</v>
      </c>
      <c r="C48" s="85"/>
      <c r="D48" s="210"/>
      <c r="E48" s="210"/>
      <c r="F48" s="210"/>
      <c r="G48" s="96" t="s">
        <v>116</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1">
      <c r="A49" s="96" t="s">
        <v>81</v>
      </c>
      <c r="B49" s="99">
        <f>SQRT((H52^2+I52^2+J52^2+K52^2+L52^2+M52^2+N52^2+O52^2+P52^2+Q52^2+R52^2+S52^2+B38^2)/H$28)</f>
        <v>2.5000000000000001E-5</v>
      </c>
      <c r="C49" s="85"/>
      <c r="D49" s="210"/>
      <c r="E49" s="210"/>
      <c r="F49" s="210"/>
      <c r="G49" s="96" t="s">
        <v>117</v>
      </c>
      <c r="H49" s="205">
        <f t="shared" si="9"/>
        <v>5.0000000000000001E-3</v>
      </c>
      <c r="I49" s="205">
        <f t="shared" si="9"/>
        <v>5.0000000000000001E-3</v>
      </c>
      <c r="J49" s="205">
        <f t="shared" si="9"/>
        <v>5.0000000000000001E-3</v>
      </c>
      <c r="K49" s="205">
        <f t="shared" si="9"/>
        <v>5.0000000000000001E-3</v>
      </c>
      <c r="L49" s="205">
        <v>0</v>
      </c>
      <c r="M49" s="205">
        <v>0</v>
      </c>
      <c r="N49" s="205">
        <v>0</v>
      </c>
      <c r="O49" s="205">
        <v>0</v>
      </c>
      <c r="P49" s="205">
        <v>0</v>
      </c>
      <c r="Q49" s="205">
        <v>0</v>
      </c>
      <c r="R49" s="205">
        <v>0</v>
      </c>
      <c r="S49" s="205">
        <v>0</v>
      </c>
    </row>
    <row r="50" spans="1:21">
      <c r="A50" s="96" t="s">
        <v>82</v>
      </c>
      <c r="B50" s="99">
        <f>SQRT((H53^2+I53^2+J53^2+K53^2+L53^2+M53^2+N53^2+O53^2+P53^2+Q53^2+R53^2+S53^2+B39^2)/H$28)</f>
        <v>3.3333333333333335E-5</v>
      </c>
      <c r="C50" s="85"/>
      <c r="D50" s="210"/>
      <c r="E50" s="210"/>
      <c r="F50" s="210"/>
      <c r="G50" s="80" t="s">
        <v>238</v>
      </c>
    </row>
    <row r="51" spans="1:21" ht="51">
      <c r="A51" s="207" t="s">
        <v>195</v>
      </c>
      <c r="B51" s="101"/>
      <c r="D51" s="211"/>
      <c r="E51" s="211"/>
      <c r="F51" s="211"/>
      <c r="G51" s="96" t="s">
        <v>80</v>
      </c>
      <c r="H51" s="144">
        <f>H98</f>
        <v>2.4999999875000002E-5</v>
      </c>
      <c r="I51" s="144">
        <f t="shared" ref="I51:S51" si="10">I98</f>
        <v>2.4999999875000002E-5</v>
      </c>
      <c r="J51" s="144">
        <f t="shared" si="10"/>
        <v>2.5000000125000001E-5</v>
      </c>
      <c r="K51" s="144">
        <f t="shared" si="10"/>
        <v>2.5000000125000001E-5</v>
      </c>
      <c r="L51" s="144">
        <f t="shared" si="10"/>
        <v>0</v>
      </c>
      <c r="M51" s="144">
        <f t="shared" si="10"/>
        <v>0</v>
      </c>
      <c r="N51" s="144">
        <f t="shared" si="10"/>
        <v>0</v>
      </c>
      <c r="O51" s="144">
        <f t="shared" si="10"/>
        <v>0</v>
      </c>
      <c r="P51" s="144">
        <f t="shared" si="10"/>
        <v>0</v>
      </c>
      <c r="Q51" s="144">
        <f t="shared" si="10"/>
        <v>0</v>
      </c>
      <c r="R51" s="144">
        <f t="shared" si="10"/>
        <v>0</v>
      </c>
      <c r="S51" s="144">
        <f t="shared" si="10"/>
        <v>0</v>
      </c>
    </row>
    <row r="52" spans="1:21">
      <c r="A52" s="96" t="s">
        <v>115</v>
      </c>
      <c r="B52" s="99">
        <f>SQRT((H55^2+I55^2+J55^2+K55^2+L55^2+M55^2+N55^2+O55^2+P55^2+Q55^2+R55^2+S55^2)/H$28)</f>
        <v>0.1</v>
      </c>
      <c r="C52" s="85"/>
      <c r="D52" s="211"/>
      <c r="E52" s="211"/>
      <c r="F52" s="211"/>
      <c r="G52" s="96" t="s">
        <v>81</v>
      </c>
      <c r="H52" s="144">
        <f>H102</f>
        <v>2.4999999875000002E-5</v>
      </c>
      <c r="I52" s="144">
        <f t="shared" ref="I52:S52" si="11">I102</f>
        <v>2.4999999875000002E-5</v>
      </c>
      <c r="J52" s="144">
        <f t="shared" si="11"/>
        <v>2.5000000125000001E-5</v>
      </c>
      <c r="K52" s="144">
        <f t="shared" si="11"/>
        <v>2.5000000125000001E-5</v>
      </c>
      <c r="L52" s="144">
        <f t="shared" si="11"/>
        <v>0</v>
      </c>
      <c r="M52" s="144">
        <f t="shared" si="11"/>
        <v>0</v>
      </c>
      <c r="N52" s="144">
        <f t="shared" si="11"/>
        <v>0</v>
      </c>
      <c r="O52" s="144">
        <f t="shared" si="11"/>
        <v>0</v>
      </c>
      <c r="P52" s="144">
        <f t="shared" si="11"/>
        <v>0</v>
      </c>
      <c r="Q52" s="144">
        <f t="shared" si="11"/>
        <v>0</v>
      </c>
      <c r="R52" s="144">
        <f t="shared" si="11"/>
        <v>0</v>
      </c>
      <c r="S52" s="144">
        <f t="shared" si="11"/>
        <v>0</v>
      </c>
      <c r="T52" s="81"/>
    </row>
    <row r="53" spans="1:21">
      <c r="A53" s="96" t="s">
        <v>116</v>
      </c>
      <c r="B53" s="99">
        <f t="shared" ref="B53:B54" si="12">SQRT((H56^2+I56^2+J56^2+K56^2+L56^2+M56^2+N56^2+O56^2+P56^2+Q56^2+R56^2+S56^2)/H$28)</f>
        <v>0.1</v>
      </c>
      <c r="C53" s="85"/>
      <c r="D53" s="211"/>
      <c r="E53" s="211"/>
      <c r="F53" s="211"/>
      <c r="G53" s="96" t="s">
        <v>82</v>
      </c>
      <c r="H53" s="144">
        <f>H106</f>
        <v>3.3333333111111111E-5</v>
      </c>
      <c r="I53" s="144">
        <f t="shared" ref="I53:S53" si="13">I106</f>
        <v>3.3333333555555559E-5</v>
      </c>
      <c r="J53" s="144">
        <f t="shared" si="13"/>
        <v>3.3333333555555559E-5</v>
      </c>
      <c r="K53" s="144">
        <f t="shared" si="13"/>
        <v>3.3333333111111111E-5</v>
      </c>
      <c r="L53" s="144">
        <f t="shared" si="13"/>
        <v>0</v>
      </c>
      <c r="M53" s="144">
        <f t="shared" si="13"/>
        <v>0</v>
      </c>
      <c r="N53" s="144">
        <f t="shared" si="13"/>
        <v>0</v>
      </c>
      <c r="O53" s="144">
        <f t="shared" si="13"/>
        <v>0</v>
      </c>
      <c r="P53" s="144">
        <f t="shared" si="13"/>
        <v>0</v>
      </c>
      <c r="Q53" s="144">
        <f t="shared" si="13"/>
        <v>0</v>
      </c>
      <c r="R53" s="144">
        <f t="shared" si="13"/>
        <v>0</v>
      </c>
      <c r="S53" s="144">
        <f t="shared" si="13"/>
        <v>0</v>
      </c>
      <c r="U53" s="144"/>
    </row>
    <row r="54" spans="1:21">
      <c r="A54" s="96" t="s">
        <v>117</v>
      </c>
      <c r="B54" s="99">
        <f t="shared" si="12"/>
        <v>0.1</v>
      </c>
      <c r="C54" s="85"/>
      <c r="D54" s="205"/>
      <c r="E54" s="205"/>
      <c r="F54" s="205"/>
      <c r="G54" s="80" t="s">
        <v>317</v>
      </c>
    </row>
    <row r="55" spans="1:21">
      <c r="A55" s="96" t="s">
        <v>80</v>
      </c>
      <c r="B55" s="99">
        <f>SQRT((H59^2+I59^2+J59^2+K59^2+L59^2+M59^2+N59^2+O59^2+P59^2+Q59^2+R59^2+S59^2+B41^2)/H$28)</f>
        <v>5.0000000000000001E-4</v>
      </c>
      <c r="C55" s="85"/>
      <c r="G55" s="96" t="s">
        <v>115</v>
      </c>
      <c r="H55" s="205">
        <v>0.1</v>
      </c>
      <c r="I55" s="205">
        <v>0.1</v>
      </c>
      <c r="J55" s="205">
        <v>0.1</v>
      </c>
      <c r="K55" s="205">
        <v>0.1</v>
      </c>
      <c r="L55" s="205">
        <v>0</v>
      </c>
      <c r="M55" s="205">
        <v>0</v>
      </c>
      <c r="N55" s="205">
        <v>0</v>
      </c>
      <c r="O55" s="205">
        <v>0</v>
      </c>
      <c r="P55" s="205">
        <v>0</v>
      </c>
      <c r="Q55" s="205">
        <v>0</v>
      </c>
      <c r="R55" s="205">
        <v>0</v>
      </c>
      <c r="S55" s="205">
        <v>0</v>
      </c>
    </row>
    <row r="56" spans="1:21">
      <c r="A56" s="96" t="s">
        <v>81</v>
      </c>
      <c r="B56" s="99">
        <f>SQRT((H60^2+I60^2+J60^2+K60^2+L60^2+M60^2+N60^2+O60^2+P60^2+Q60^2+R60^2+S60^2+B42^2)/H$28)</f>
        <v>5.0000000000000001E-4</v>
      </c>
      <c r="C56" s="85"/>
      <c r="G56" s="96" t="s">
        <v>116</v>
      </c>
      <c r="H56" s="205">
        <v>0.1</v>
      </c>
      <c r="I56" s="205">
        <v>0.1</v>
      </c>
      <c r="J56" s="205">
        <v>0.1</v>
      </c>
      <c r="K56" s="205">
        <v>0.1</v>
      </c>
      <c r="L56" s="205">
        <v>0</v>
      </c>
      <c r="M56" s="205">
        <v>0</v>
      </c>
      <c r="N56" s="205">
        <v>0</v>
      </c>
      <c r="O56" s="205">
        <v>0</v>
      </c>
      <c r="P56" s="205">
        <v>0</v>
      </c>
      <c r="Q56" s="205">
        <v>0</v>
      </c>
      <c r="R56" s="205">
        <v>0</v>
      </c>
      <c r="S56" s="205">
        <v>0</v>
      </c>
    </row>
    <row r="57" spans="1:21">
      <c r="A57" s="96" t="s">
        <v>82</v>
      </c>
      <c r="B57" s="99">
        <f>SQRT((H61^2+I61^2+J61^2+K61^2+L61^2+M61^2+N61^2+O61^2+P61^2+Q61^2+R61^2+S61^2+B43^2)/H$28)</f>
        <v>6.6666666666666675E-4</v>
      </c>
      <c r="C57" s="85"/>
      <c r="G57" s="96" t="s">
        <v>117</v>
      </c>
      <c r="H57" s="205">
        <v>0.1</v>
      </c>
      <c r="I57" s="205">
        <v>0.1</v>
      </c>
      <c r="J57" s="205">
        <v>0.1</v>
      </c>
      <c r="K57" s="205">
        <v>0.1</v>
      </c>
      <c r="L57" s="205">
        <v>0</v>
      </c>
      <c r="M57" s="205">
        <v>0</v>
      </c>
      <c r="N57" s="205">
        <v>0</v>
      </c>
      <c r="O57" s="205">
        <v>0</v>
      </c>
      <c r="P57" s="205">
        <v>0</v>
      </c>
      <c r="Q57" s="205">
        <v>0</v>
      </c>
      <c r="R57" s="205">
        <v>0</v>
      </c>
      <c r="S57" s="205">
        <v>0</v>
      </c>
    </row>
    <row r="58" spans="1:21">
      <c r="B58" s="101"/>
      <c r="G58" s="80" t="s">
        <v>239</v>
      </c>
    </row>
    <row r="59" spans="1:21">
      <c r="A59" s="292" t="s">
        <v>387</v>
      </c>
      <c r="B59" s="292"/>
      <c r="G59" s="96" t="s">
        <v>80</v>
      </c>
      <c r="H59" s="213">
        <f>H113</f>
        <v>4.9999999750000002E-4</v>
      </c>
      <c r="I59" s="213">
        <f t="shared" ref="I59:S59" si="14">I113</f>
        <v>4.9999999750000002E-4</v>
      </c>
      <c r="J59" s="213">
        <f t="shared" si="14"/>
        <v>-5.000000025E-4</v>
      </c>
      <c r="K59" s="213">
        <f t="shared" si="14"/>
        <v>-5.000000025E-4</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1">
      <c r="A60" s="293" t="s">
        <v>80</v>
      </c>
      <c r="B60" s="294">
        <f>IF(MAX(ABS(B48),ABS(B55))=0, 0.001, MAX(ABS(B48),ABS(B55)))</f>
        <v>5.0000000000000001E-4</v>
      </c>
      <c r="G60" s="96" t="s">
        <v>81</v>
      </c>
      <c r="H60" s="213">
        <f>H118</f>
        <v>-4.9999999750000002E-4</v>
      </c>
      <c r="I60" s="213">
        <f t="shared" ref="I60:S60" si="15">I118</f>
        <v>4.9999999750000002E-4</v>
      </c>
      <c r="J60" s="213">
        <f t="shared" si="15"/>
        <v>-5.000000025E-4</v>
      </c>
      <c r="K60" s="213">
        <f t="shared" si="15"/>
        <v>5.000000025E-4</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1">
      <c r="A61" s="293" t="s">
        <v>81</v>
      </c>
      <c r="B61" s="294">
        <f t="shared" ref="B61:B62" si="16">IF(MAX(ABS(B49),ABS(B56))=0, 0.001, MAX(ABS(B49),ABS(B56)))</f>
        <v>5.0000000000000001E-4</v>
      </c>
      <c r="G61" s="96" t="s">
        <v>82</v>
      </c>
      <c r="H61" s="213">
        <f>H123</f>
        <v>6.6666666222222227E-4</v>
      </c>
      <c r="I61" s="213">
        <f t="shared" ref="I61:S61" si="17">I123</f>
        <v>-6.6666667111111113E-4</v>
      </c>
      <c r="J61" s="213">
        <f t="shared" si="17"/>
        <v>-6.6666667111111113E-4</v>
      </c>
      <c r="K61" s="213">
        <f t="shared" si="17"/>
        <v>6.6666666222222227E-4</v>
      </c>
      <c r="L61" s="213">
        <f t="shared" si="17"/>
        <v>0</v>
      </c>
      <c r="M61" s="213">
        <f t="shared" si="17"/>
        <v>0</v>
      </c>
      <c r="N61" s="213">
        <f t="shared" si="17"/>
        <v>0</v>
      </c>
      <c r="O61" s="213">
        <f t="shared" si="17"/>
        <v>0</v>
      </c>
      <c r="P61" s="213">
        <f t="shared" si="17"/>
        <v>0</v>
      </c>
      <c r="Q61" s="213">
        <f t="shared" si="17"/>
        <v>0</v>
      </c>
      <c r="R61" s="213">
        <f t="shared" si="17"/>
        <v>0</v>
      </c>
      <c r="S61" s="213">
        <f t="shared" si="17"/>
        <v>0</v>
      </c>
    </row>
    <row r="62" spans="1:21">
      <c r="A62" s="293" t="s">
        <v>82</v>
      </c>
      <c r="B62" s="294">
        <f t="shared" si="16"/>
        <v>6.6666666666666675E-4</v>
      </c>
      <c r="G62" s="206" t="s">
        <v>284</v>
      </c>
    </row>
    <row r="63" spans="1:21" s="146" customFormat="1">
      <c r="G63" s="79"/>
      <c r="H63" s="79"/>
      <c r="I63" s="111"/>
      <c r="J63" s="111"/>
      <c r="K63" s="111"/>
      <c r="L63" s="111"/>
      <c r="M63" s="111"/>
      <c r="N63" s="111"/>
      <c r="O63" s="79"/>
    </row>
    <row r="64" spans="1:21" s="146" customFormat="1">
      <c r="G64" s="112"/>
      <c r="H64" s="366"/>
      <c r="I64" s="214"/>
      <c r="J64" s="214"/>
      <c r="K64" s="214"/>
      <c r="L64" s="214"/>
      <c r="M64" s="214"/>
      <c r="N64" s="214"/>
      <c r="O64" s="111"/>
    </row>
    <row r="65" spans="1:15" s="146" customFormat="1">
      <c r="G65" s="112"/>
      <c r="H65" s="366"/>
      <c r="I65" s="214"/>
      <c r="J65" s="214"/>
      <c r="K65" s="214"/>
      <c r="L65" s="214"/>
      <c r="M65" s="214"/>
      <c r="N65" s="214"/>
      <c r="O65" s="111"/>
    </row>
    <row r="66" spans="1:15" s="146" customFormat="1">
      <c r="G66" s="112"/>
      <c r="H66" s="366"/>
      <c r="I66" s="214"/>
      <c r="J66" s="214"/>
      <c r="K66" s="214"/>
      <c r="L66" s="214"/>
      <c r="M66" s="214"/>
      <c r="N66" s="214"/>
      <c r="O66" s="111"/>
    </row>
    <row r="67" spans="1:15" s="146" customFormat="1">
      <c r="G67" s="112"/>
      <c r="H67" s="366"/>
      <c r="I67" s="214"/>
      <c r="J67" s="214"/>
      <c r="K67" s="214"/>
      <c r="L67" s="214"/>
      <c r="M67" s="214"/>
      <c r="N67" s="214"/>
      <c r="O67" s="111"/>
    </row>
    <row r="68" spans="1:15" s="146" customFormat="1">
      <c r="G68" s="112"/>
      <c r="H68" s="366"/>
      <c r="I68" s="214"/>
      <c r="J68" s="214"/>
      <c r="K68" s="214"/>
      <c r="L68" s="214"/>
      <c r="M68" s="214"/>
      <c r="N68" s="214"/>
      <c r="O68" s="111"/>
    </row>
    <row r="69" spans="1:15" s="146" customFormat="1">
      <c r="G69" s="112"/>
      <c r="H69" s="366"/>
      <c r="I69" s="214"/>
      <c r="J69" s="214"/>
      <c r="K69" s="214"/>
      <c r="L69" s="214"/>
      <c r="M69" s="214"/>
      <c r="N69" s="214"/>
      <c r="O69" s="111"/>
    </row>
    <row r="70" spans="1:15" s="146" customFormat="1">
      <c r="G70" s="112"/>
      <c r="H70" s="187"/>
      <c r="I70" s="214"/>
      <c r="J70" s="214"/>
      <c r="K70" s="214"/>
      <c r="L70" s="214"/>
      <c r="M70" s="214"/>
      <c r="N70" s="214"/>
      <c r="O70" s="111"/>
    </row>
    <row r="71" spans="1:15" s="146" customFormat="1">
      <c r="G71" s="112"/>
      <c r="H71" s="187"/>
      <c r="I71" s="214"/>
      <c r="J71" s="214"/>
      <c r="K71" s="214"/>
      <c r="L71" s="214"/>
      <c r="M71" s="214"/>
      <c r="N71" s="214"/>
      <c r="O71" s="111"/>
    </row>
    <row r="72" spans="1:15" s="146" customFormat="1">
      <c r="G72" s="112"/>
      <c r="H72" s="187"/>
      <c r="I72" s="214"/>
      <c r="J72" s="214"/>
      <c r="K72" s="214"/>
      <c r="L72" s="214"/>
      <c r="M72" s="214"/>
      <c r="N72" s="214"/>
      <c r="O72" s="111"/>
    </row>
    <row r="73" spans="1:15" s="146" customFormat="1">
      <c r="G73" s="112"/>
      <c r="H73" s="187"/>
      <c r="I73" s="214"/>
      <c r="J73" s="214"/>
      <c r="K73" s="214"/>
      <c r="L73" s="214"/>
      <c r="M73" s="214"/>
      <c r="N73" s="214"/>
      <c r="O73" s="111"/>
    </row>
    <row r="74" spans="1:15" s="146" customFormat="1">
      <c r="G74" s="112"/>
      <c r="H74" s="187"/>
      <c r="I74" s="214"/>
      <c r="J74" s="214"/>
      <c r="K74" s="214"/>
      <c r="L74" s="214"/>
      <c r="M74" s="214"/>
      <c r="N74" s="214"/>
      <c r="O74" s="111"/>
    </row>
    <row r="75" spans="1:15" s="146" customFormat="1">
      <c r="G75" s="112"/>
      <c r="H75" s="187"/>
      <c r="I75" s="214"/>
      <c r="J75" s="214"/>
      <c r="K75" s="214"/>
      <c r="L75" s="214"/>
      <c r="M75" s="214"/>
      <c r="N75" s="214"/>
      <c r="O75" s="111"/>
    </row>
    <row r="76" spans="1:15" s="146" customFormat="1">
      <c r="G76" s="112"/>
      <c r="H76" s="187"/>
      <c r="I76" s="214"/>
      <c r="J76" s="214"/>
      <c r="K76" s="214"/>
      <c r="L76" s="214"/>
      <c r="M76" s="214"/>
      <c r="N76" s="214"/>
      <c r="O76" s="111"/>
    </row>
    <row r="77" spans="1:15" s="146" customFormat="1">
      <c r="G77" s="112"/>
      <c r="H77" s="187"/>
      <c r="I77" s="214"/>
      <c r="J77" s="214"/>
      <c r="K77" s="214"/>
      <c r="L77" s="214"/>
      <c r="M77" s="214"/>
      <c r="N77" s="214"/>
      <c r="O77" s="111"/>
    </row>
    <row r="78" spans="1:15" s="146" customFormat="1">
      <c r="G78" s="112"/>
      <c r="H78" s="187"/>
      <c r="I78" s="214"/>
      <c r="J78" s="214"/>
      <c r="K78" s="214"/>
      <c r="L78" s="214"/>
      <c r="M78" s="214"/>
      <c r="N78" s="214"/>
      <c r="O78" s="111"/>
    </row>
    <row r="79" spans="1:15" s="146" customFormat="1">
      <c r="G79" s="112"/>
      <c r="H79" s="187"/>
      <c r="I79" s="214"/>
      <c r="J79" s="214"/>
      <c r="K79" s="214"/>
      <c r="L79" s="214"/>
      <c r="M79" s="214"/>
      <c r="N79" s="214"/>
      <c r="O79" s="111"/>
    </row>
    <row r="80" spans="1:15"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c r="G90" s="112"/>
      <c r="H90" s="187"/>
      <c r="I90" s="214"/>
      <c r="J90" s="214"/>
      <c r="K90" s="214"/>
      <c r="L90" s="214"/>
      <c r="M90" s="214"/>
      <c r="N90" s="214"/>
      <c r="O90" s="111"/>
    </row>
    <row r="91" spans="1:19" s="146" customFormat="1">
      <c r="A91" s="109"/>
      <c r="B91" s="201"/>
    </row>
    <row r="92" spans="1:19" s="146" customFormat="1">
      <c r="A92" s="109"/>
      <c r="B92" s="201"/>
    </row>
    <row r="93" spans="1:19">
      <c r="A93" s="109"/>
      <c r="B93" s="201"/>
      <c r="C93" s="146"/>
    </row>
    <row r="94" spans="1:19">
      <c r="A94" s="109"/>
      <c r="B94" s="201"/>
      <c r="C94" s="146"/>
      <c r="G94" s="215" t="s">
        <v>246</v>
      </c>
    </row>
    <row r="95" spans="1:19">
      <c r="A95" s="109"/>
      <c r="B95" s="201"/>
      <c r="C95" s="146"/>
      <c r="G95" s="203"/>
      <c r="H95" s="141" t="s">
        <v>247</v>
      </c>
    </row>
    <row r="96" spans="1:19">
      <c r="A96" s="109"/>
      <c r="B96" s="201"/>
      <c r="C96" s="146"/>
      <c r="G96" s="141" t="s">
        <v>245</v>
      </c>
      <c r="H96" s="79">
        <f t="shared" ref="H96:S96" si="18">H48/ABS(H33+0.000001)</f>
        <v>2.4999999875000002E-5</v>
      </c>
      <c r="I96" s="79">
        <f t="shared" si="18"/>
        <v>2.4999999875000002E-5</v>
      </c>
      <c r="J96" s="79">
        <f t="shared" si="18"/>
        <v>2.5000000125000001E-5</v>
      </c>
      <c r="K96" s="79">
        <f t="shared" si="18"/>
        <v>2.5000000125000001E-5</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109"/>
      <c r="B97" s="201"/>
      <c r="C97" s="146"/>
      <c r="G97" s="141" t="s">
        <v>245</v>
      </c>
      <c r="H97" s="79">
        <f t="shared" ref="H97:S97" si="19">H49/ABS(H32+0.000001)</f>
        <v>5000</v>
      </c>
      <c r="I97" s="79">
        <f t="shared" si="19"/>
        <v>5000</v>
      </c>
      <c r="J97" s="79">
        <f t="shared" si="19"/>
        <v>5000</v>
      </c>
      <c r="K97" s="79">
        <f t="shared" si="19"/>
        <v>5000</v>
      </c>
      <c r="L97" s="79">
        <f t="shared" si="19"/>
        <v>0</v>
      </c>
      <c r="M97" s="79">
        <f t="shared" si="19"/>
        <v>0</v>
      </c>
      <c r="N97" s="79">
        <f t="shared" si="19"/>
        <v>0</v>
      </c>
      <c r="O97" s="79">
        <f t="shared" si="19"/>
        <v>0</v>
      </c>
      <c r="P97" s="79">
        <f t="shared" si="19"/>
        <v>0</v>
      </c>
      <c r="Q97" s="79">
        <f t="shared" si="19"/>
        <v>0</v>
      </c>
      <c r="R97" s="79">
        <f t="shared" si="19"/>
        <v>0</v>
      </c>
      <c r="S97" s="79">
        <f t="shared" si="19"/>
        <v>0</v>
      </c>
    </row>
    <row r="98" spans="1:19">
      <c r="A98" s="109"/>
      <c r="B98" s="201"/>
      <c r="C98" s="146"/>
      <c r="G98" s="79" t="s">
        <v>243</v>
      </c>
      <c r="H98" s="216">
        <f>IF(MIN(H96,H97)&gt;1,0,MIN(H96,H97))</f>
        <v>2.4999999875000002E-5</v>
      </c>
      <c r="I98" s="216">
        <f t="shared" ref="I98:S98" si="20">IF(MIN(I96,I97)&gt;1,0,MIN(I96,I97))</f>
        <v>2.4999999875000002E-5</v>
      </c>
      <c r="J98" s="216">
        <f t="shared" si="20"/>
        <v>2.5000000125000001E-5</v>
      </c>
      <c r="K98" s="216">
        <f t="shared" si="20"/>
        <v>2.5000000125000001E-5</v>
      </c>
      <c r="L98" s="216">
        <f t="shared" si="20"/>
        <v>0</v>
      </c>
      <c r="M98" s="216">
        <f t="shared" si="20"/>
        <v>0</v>
      </c>
      <c r="N98" s="216">
        <f t="shared" si="20"/>
        <v>0</v>
      </c>
      <c r="O98" s="216">
        <f t="shared" si="20"/>
        <v>0</v>
      </c>
      <c r="P98" s="216">
        <f t="shared" si="20"/>
        <v>0</v>
      </c>
      <c r="Q98" s="216">
        <f t="shared" si="20"/>
        <v>0</v>
      </c>
      <c r="R98" s="216">
        <f t="shared" si="20"/>
        <v>0</v>
      </c>
      <c r="S98" s="216">
        <f t="shared" si="20"/>
        <v>0</v>
      </c>
    </row>
    <row r="99" spans="1:19">
      <c r="A99" s="109"/>
      <c r="B99" s="201"/>
      <c r="C99" s="146"/>
      <c r="H99" s="141" t="s">
        <v>248</v>
      </c>
      <c r="I99" s="141"/>
      <c r="J99" s="141"/>
      <c r="K99" s="141"/>
      <c r="L99" s="141"/>
      <c r="M99" s="141"/>
      <c r="N99" s="141"/>
      <c r="O99" s="141"/>
      <c r="P99" s="141"/>
      <c r="Q99" s="141"/>
      <c r="R99" s="141"/>
      <c r="S99" s="141"/>
    </row>
    <row r="100" spans="1:19">
      <c r="A100" s="109"/>
      <c r="B100" s="201"/>
      <c r="C100" s="146"/>
      <c r="G100" s="108" t="s">
        <v>245</v>
      </c>
      <c r="H100" s="146">
        <f t="shared" ref="H100:S100" si="21">H49/ABS(H31+0.000001)</f>
        <v>3.3333333111111111E-5</v>
      </c>
      <c r="I100" s="146">
        <f t="shared" si="21"/>
        <v>3.3333333555555559E-5</v>
      </c>
      <c r="J100" s="146">
        <f t="shared" si="21"/>
        <v>3.3333333555555559E-5</v>
      </c>
      <c r="K100" s="146">
        <f t="shared" si="21"/>
        <v>3.3333333111111111E-5</v>
      </c>
      <c r="L100" s="146">
        <f t="shared" si="21"/>
        <v>0</v>
      </c>
      <c r="M100" s="146">
        <f t="shared" si="21"/>
        <v>0</v>
      </c>
      <c r="N100" s="146">
        <f t="shared" si="21"/>
        <v>0</v>
      </c>
      <c r="O100" s="146">
        <f t="shared" si="21"/>
        <v>0</v>
      </c>
      <c r="P100" s="146">
        <f t="shared" si="21"/>
        <v>0</v>
      </c>
      <c r="Q100" s="146">
        <f t="shared" si="21"/>
        <v>0</v>
      </c>
      <c r="R100" s="146">
        <f t="shared" si="21"/>
        <v>0</v>
      </c>
      <c r="S100" s="146">
        <f t="shared" si="21"/>
        <v>0</v>
      </c>
    </row>
    <row r="101" spans="1:19">
      <c r="A101" s="109"/>
      <c r="B101" s="201"/>
      <c r="C101" s="146"/>
      <c r="G101" s="108" t="s">
        <v>245</v>
      </c>
      <c r="H101" s="217">
        <f t="shared" ref="H101:S101" si="22">H47/ABS(H33+0.000001)</f>
        <v>2.4999999875000002E-5</v>
      </c>
      <c r="I101" s="217">
        <f t="shared" si="22"/>
        <v>2.4999999875000002E-5</v>
      </c>
      <c r="J101" s="217">
        <f t="shared" si="22"/>
        <v>2.5000000125000001E-5</v>
      </c>
      <c r="K101" s="217">
        <f t="shared" si="22"/>
        <v>2.5000000125000001E-5</v>
      </c>
      <c r="L101" s="217">
        <f t="shared" si="22"/>
        <v>0</v>
      </c>
      <c r="M101" s="217">
        <f t="shared" si="22"/>
        <v>0</v>
      </c>
      <c r="N101" s="217">
        <f t="shared" si="22"/>
        <v>0</v>
      </c>
      <c r="O101" s="217">
        <f t="shared" si="22"/>
        <v>0</v>
      </c>
      <c r="P101" s="217">
        <f t="shared" si="22"/>
        <v>0</v>
      </c>
      <c r="Q101" s="217">
        <f t="shared" si="22"/>
        <v>0</v>
      </c>
      <c r="R101" s="217">
        <f t="shared" si="22"/>
        <v>0</v>
      </c>
      <c r="S101" s="217">
        <f t="shared" si="22"/>
        <v>0</v>
      </c>
    </row>
    <row r="102" spans="1:19">
      <c r="A102" s="109"/>
      <c r="B102" s="201"/>
      <c r="C102" s="146"/>
      <c r="G102" s="79" t="s">
        <v>243</v>
      </c>
      <c r="H102" s="216">
        <f>IF(MIN(H100,H101)&gt;1,0,MIN(H100,H101))</f>
        <v>2.4999999875000002E-5</v>
      </c>
      <c r="I102" s="216">
        <f t="shared" ref="I102:S102" si="23">IF(MIN(I100,I101)&gt;1,0,MIN(I100,I101))</f>
        <v>2.4999999875000002E-5</v>
      </c>
      <c r="J102" s="216">
        <f t="shared" si="23"/>
        <v>2.5000000125000001E-5</v>
      </c>
      <c r="K102" s="216">
        <f t="shared" si="23"/>
        <v>2.5000000125000001E-5</v>
      </c>
      <c r="L102" s="216">
        <f t="shared" si="23"/>
        <v>0</v>
      </c>
      <c r="M102" s="216">
        <f t="shared" si="23"/>
        <v>0</v>
      </c>
      <c r="N102" s="216">
        <f t="shared" si="23"/>
        <v>0</v>
      </c>
      <c r="O102" s="216">
        <f t="shared" si="23"/>
        <v>0</v>
      </c>
      <c r="P102" s="216">
        <f t="shared" si="23"/>
        <v>0</v>
      </c>
      <c r="Q102" s="216">
        <f t="shared" si="23"/>
        <v>0</v>
      </c>
      <c r="R102" s="216">
        <f t="shared" si="23"/>
        <v>0</v>
      </c>
      <c r="S102" s="216">
        <f t="shared" si="23"/>
        <v>0</v>
      </c>
    </row>
    <row r="103" spans="1:19">
      <c r="A103" s="109"/>
      <c r="B103" s="201"/>
      <c r="C103" s="146"/>
      <c r="H103" s="79" t="s">
        <v>249</v>
      </c>
    </row>
    <row r="104" spans="1:19">
      <c r="A104" s="109"/>
      <c r="B104" s="201"/>
      <c r="C104" s="146"/>
      <c r="G104" s="141" t="s">
        <v>245</v>
      </c>
      <c r="H104" s="79">
        <f t="shared" ref="H104:S104" si="24">H48/ABS(H31+0.000001)</f>
        <v>3.3333333111111111E-5</v>
      </c>
      <c r="I104" s="79">
        <f t="shared" si="24"/>
        <v>3.3333333555555559E-5</v>
      </c>
      <c r="J104" s="79">
        <f t="shared" si="24"/>
        <v>3.3333333555555559E-5</v>
      </c>
      <c r="K104" s="79">
        <f t="shared" si="24"/>
        <v>3.3333333111111111E-5</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A105" s="109"/>
      <c r="B105" s="201"/>
      <c r="C105" s="146"/>
      <c r="G105" s="141" t="s">
        <v>245</v>
      </c>
      <c r="H105" s="79">
        <f t="shared" ref="H105:S105" si="25">H47/ABS(H32+0.000001)</f>
        <v>5000</v>
      </c>
      <c r="I105" s="79">
        <f t="shared" si="25"/>
        <v>5000</v>
      </c>
      <c r="J105" s="79">
        <f t="shared" si="25"/>
        <v>5000</v>
      </c>
      <c r="K105" s="79">
        <f t="shared" si="25"/>
        <v>5000</v>
      </c>
      <c r="L105" s="79">
        <f t="shared" si="25"/>
        <v>0</v>
      </c>
      <c r="M105" s="79">
        <f t="shared" si="25"/>
        <v>0</v>
      </c>
      <c r="N105" s="79">
        <f t="shared" si="25"/>
        <v>0</v>
      </c>
      <c r="O105" s="79">
        <f t="shared" si="25"/>
        <v>0</v>
      </c>
      <c r="P105" s="79">
        <f t="shared" si="25"/>
        <v>0</v>
      </c>
      <c r="Q105" s="79">
        <f t="shared" si="25"/>
        <v>0</v>
      </c>
      <c r="R105" s="79">
        <f t="shared" si="25"/>
        <v>0</v>
      </c>
      <c r="S105" s="79">
        <f t="shared" si="25"/>
        <v>0</v>
      </c>
    </row>
    <row r="106" spans="1:19">
      <c r="A106" s="109"/>
      <c r="B106" s="201"/>
      <c r="C106" s="146"/>
      <c r="G106" s="79" t="s">
        <v>243</v>
      </c>
      <c r="H106" s="216">
        <f>IF(MIN(H104,H105)&gt;1,0,MIN(H104,H105))</f>
        <v>3.3333333111111111E-5</v>
      </c>
      <c r="I106" s="216">
        <f t="shared" ref="I106:S106" si="26">IF(MIN(I104,I105)&gt;1,0,MIN(I104,I105))</f>
        <v>3.3333333555555559E-5</v>
      </c>
      <c r="J106" s="216">
        <f t="shared" si="26"/>
        <v>3.3333333555555559E-5</v>
      </c>
      <c r="K106" s="216">
        <f t="shared" si="26"/>
        <v>3.3333333111111111E-5</v>
      </c>
      <c r="L106" s="216">
        <f t="shared" si="26"/>
        <v>0</v>
      </c>
      <c r="M106" s="216">
        <f t="shared" si="26"/>
        <v>0</v>
      </c>
      <c r="N106" s="216">
        <f t="shared" si="26"/>
        <v>0</v>
      </c>
      <c r="O106" s="216">
        <f t="shared" si="26"/>
        <v>0</v>
      </c>
      <c r="P106" s="216">
        <f t="shared" si="26"/>
        <v>0</v>
      </c>
      <c r="Q106" s="216">
        <f t="shared" si="26"/>
        <v>0</v>
      </c>
      <c r="R106" s="216">
        <f t="shared" si="26"/>
        <v>0</v>
      </c>
      <c r="S106" s="216">
        <f t="shared" si="26"/>
        <v>0</v>
      </c>
    </row>
    <row r="107" spans="1:19">
      <c r="A107" s="109"/>
      <c r="B107" s="201"/>
      <c r="C107" s="146"/>
    </row>
    <row r="108" spans="1:19">
      <c r="A108" s="109"/>
      <c r="B108" s="201"/>
      <c r="C108" s="146"/>
      <c r="G108" s="215" t="s">
        <v>294</v>
      </c>
      <c r="H108" s="215"/>
      <c r="I108" s="215"/>
      <c r="J108" s="215"/>
      <c r="K108" s="215"/>
      <c r="L108" s="215"/>
      <c r="M108" s="215"/>
      <c r="N108" s="215"/>
      <c r="O108" s="215"/>
      <c r="P108" s="215"/>
    </row>
    <row r="109" spans="1:19">
      <c r="A109" s="109"/>
      <c r="B109" s="201"/>
      <c r="C109" s="146"/>
      <c r="H109" s="96" t="s">
        <v>240</v>
      </c>
      <c r="I109" s="96"/>
      <c r="J109" s="96"/>
      <c r="K109" s="96"/>
      <c r="L109" s="96"/>
      <c r="M109" s="96"/>
      <c r="N109" s="96"/>
      <c r="O109" s="96"/>
      <c r="P109" s="96"/>
      <c r="Q109" s="96"/>
      <c r="R109" s="96"/>
      <c r="S109" s="96"/>
    </row>
    <row r="110" spans="1:19">
      <c r="G110" s="141" t="s">
        <v>245</v>
      </c>
      <c r="H110" s="216">
        <f t="shared" ref="H110:S110" si="27">H56/(H33+0.000001)</f>
        <v>4.9999999750000002E-4</v>
      </c>
      <c r="I110" s="216">
        <f t="shared" si="27"/>
        <v>4.9999999750000002E-4</v>
      </c>
      <c r="J110" s="216">
        <f t="shared" si="27"/>
        <v>-5.000000025E-4</v>
      </c>
      <c r="K110" s="216">
        <f t="shared" si="27"/>
        <v>-5.000000025E-4</v>
      </c>
      <c r="L110" s="216">
        <f t="shared" si="27"/>
        <v>0</v>
      </c>
      <c r="M110" s="216">
        <f t="shared" si="27"/>
        <v>0</v>
      </c>
      <c r="N110" s="216">
        <f t="shared" si="27"/>
        <v>0</v>
      </c>
      <c r="O110" s="216">
        <f t="shared" si="27"/>
        <v>0</v>
      </c>
      <c r="P110" s="216">
        <f t="shared" si="27"/>
        <v>0</v>
      </c>
      <c r="Q110" s="216">
        <f t="shared" si="27"/>
        <v>0</v>
      </c>
      <c r="R110" s="216">
        <f t="shared" si="27"/>
        <v>0</v>
      </c>
      <c r="S110" s="216">
        <f t="shared" si="27"/>
        <v>0</v>
      </c>
    </row>
    <row r="111" spans="1:19">
      <c r="G111" s="141" t="s">
        <v>245</v>
      </c>
      <c r="H111" s="218">
        <f t="shared" ref="H111:S111" si="28">H57/(H32+0.000001)</f>
        <v>100000.00000000001</v>
      </c>
      <c r="I111" s="218">
        <f t="shared" si="28"/>
        <v>100000.00000000001</v>
      </c>
      <c r="J111" s="218">
        <f t="shared" si="28"/>
        <v>100000.00000000001</v>
      </c>
      <c r="K111" s="218">
        <f t="shared" si="28"/>
        <v>100000.00000000001</v>
      </c>
      <c r="L111" s="218">
        <f t="shared" si="28"/>
        <v>0</v>
      </c>
      <c r="M111" s="218">
        <f t="shared" si="28"/>
        <v>0</v>
      </c>
      <c r="N111" s="218">
        <f t="shared" si="28"/>
        <v>0</v>
      </c>
      <c r="O111" s="218">
        <f t="shared" si="28"/>
        <v>0</v>
      </c>
      <c r="P111" s="218">
        <f t="shared" si="28"/>
        <v>0</v>
      </c>
      <c r="Q111" s="218">
        <f t="shared" si="28"/>
        <v>0</v>
      </c>
      <c r="R111" s="218">
        <f t="shared" si="28"/>
        <v>0</v>
      </c>
      <c r="S111" s="218">
        <f t="shared" si="28"/>
        <v>0</v>
      </c>
    </row>
    <row r="112" spans="1:19">
      <c r="G112" s="79" t="s">
        <v>244</v>
      </c>
      <c r="H112" s="136">
        <f>SIGN(H110+0.000000000001)*SIGN(H111+0.000000000001)</f>
        <v>1</v>
      </c>
      <c r="I112" s="136">
        <f t="shared" ref="I112:S112" si="29">SIGN(I110+0.000000000001)*SIGN(I111+0.000000000001)</f>
        <v>1</v>
      </c>
      <c r="J112" s="136">
        <f t="shared" si="29"/>
        <v>-1</v>
      </c>
      <c r="K112" s="136">
        <f t="shared" si="29"/>
        <v>-1</v>
      </c>
      <c r="L112" s="136">
        <f t="shared" si="29"/>
        <v>1</v>
      </c>
      <c r="M112" s="136">
        <f t="shared" si="29"/>
        <v>1</v>
      </c>
      <c r="N112" s="136">
        <f t="shared" si="29"/>
        <v>1</v>
      </c>
      <c r="O112" s="136">
        <f t="shared" si="29"/>
        <v>1</v>
      </c>
      <c r="P112" s="136">
        <f t="shared" si="29"/>
        <v>1</v>
      </c>
      <c r="Q112" s="136">
        <f t="shared" si="29"/>
        <v>1</v>
      </c>
      <c r="R112" s="136">
        <f t="shared" si="29"/>
        <v>1</v>
      </c>
      <c r="S112" s="136">
        <f t="shared" si="29"/>
        <v>1</v>
      </c>
    </row>
    <row r="113" spans="7:19">
      <c r="G113" s="79" t="s">
        <v>243</v>
      </c>
      <c r="H113" s="216">
        <f>IF(H112*MIN(ABS(H110),ABS(H111))&gt;1,0,H112*MIN(ABS(H110),ABS(H111)))</f>
        <v>4.9999999750000002E-4</v>
      </c>
      <c r="I113" s="216">
        <f t="shared" ref="I113:S113" si="30">IF(I112*MIN(ABS(I110),ABS(I111))&gt;1,0,I112*MIN(ABS(I110),ABS(I111)))</f>
        <v>4.9999999750000002E-4</v>
      </c>
      <c r="J113" s="216">
        <f t="shared" si="30"/>
        <v>-5.000000025E-4</v>
      </c>
      <c r="K113" s="216">
        <f t="shared" si="30"/>
        <v>-5.000000025E-4</v>
      </c>
      <c r="L113" s="216">
        <f t="shared" si="30"/>
        <v>0</v>
      </c>
      <c r="M113" s="216">
        <f t="shared" si="30"/>
        <v>0</v>
      </c>
      <c r="N113" s="216">
        <f t="shared" si="30"/>
        <v>0</v>
      </c>
      <c r="O113" s="216">
        <f t="shared" si="30"/>
        <v>0</v>
      </c>
      <c r="P113" s="216">
        <f t="shared" si="30"/>
        <v>0</v>
      </c>
      <c r="Q113" s="216">
        <f t="shared" si="30"/>
        <v>0</v>
      </c>
      <c r="R113" s="216">
        <f t="shared" si="30"/>
        <v>0</v>
      </c>
      <c r="S113" s="216">
        <f t="shared" si="30"/>
        <v>0</v>
      </c>
    </row>
    <row r="114" spans="7:19">
      <c r="H114" s="96" t="s">
        <v>241</v>
      </c>
      <c r="I114" s="96"/>
      <c r="J114" s="96"/>
      <c r="K114" s="96"/>
      <c r="L114" s="96"/>
      <c r="M114" s="96"/>
      <c r="N114" s="96"/>
      <c r="O114" s="96"/>
      <c r="P114" s="96"/>
      <c r="Q114" s="96"/>
      <c r="R114" s="96"/>
      <c r="S114" s="96"/>
    </row>
    <row r="115" spans="7:19">
      <c r="G115" s="108" t="s">
        <v>245</v>
      </c>
      <c r="H115" s="146">
        <f t="shared" ref="H115:S115" si="31">-H57/(H31+0.000001)</f>
        <v>-6.6666666222222227E-4</v>
      </c>
      <c r="I115" s="146">
        <f t="shared" si="31"/>
        <v>6.6666667111111113E-4</v>
      </c>
      <c r="J115" s="146">
        <f t="shared" si="31"/>
        <v>6.6666667111111113E-4</v>
      </c>
      <c r="K115" s="146">
        <f t="shared" si="31"/>
        <v>-6.6666666222222227E-4</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08" t="s">
        <v>245</v>
      </c>
      <c r="H116" s="146">
        <f t="shared" ref="H116:S116" si="32">H55/(H33+0.000001)</f>
        <v>4.9999999750000002E-4</v>
      </c>
      <c r="I116" s="146">
        <f t="shared" si="32"/>
        <v>4.9999999750000002E-4</v>
      </c>
      <c r="J116" s="146">
        <f t="shared" si="32"/>
        <v>-5.000000025E-4</v>
      </c>
      <c r="K116" s="146">
        <f t="shared" si="32"/>
        <v>-5.000000025E-4</v>
      </c>
      <c r="L116" s="146">
        <f t="shared" si="32"/>
        <v>0</v>
      </c>
      <c r="M116" s="146">
        <f t="shared" si="32"/>
        <v>0</v>
      </c>
      <c r="N116" s="146">
        <f t="shared" si="32"/>
        <v>0</v>
      </c>
      <c r="O116" s="146">
        <f t="shared" si="32"/>
        <v>0</v>
      </c>
      <c r="P116" s="146">
        <f t="shared" si="32"/>
        <v>0</v>
      </c>
      <c r="Q116" s="146">
        <f t="shared" si="32"/>
        <v>0</v>
      </c>
      <c r="R116" s="146">
        <f t="shared" si="32"/>
        <v>0</v>
      </c>
      <c r="S116" s="146">
        <f t="shared" si="32"/>
        <v>0</v>
      </c>
    </row>
    <row r="117" spans="7:19">
      <c r="G117" s="146" t="s">
        <v>244</v>
      </c>
      <c r="H117" s="219">
        <f>SIGN(H115+0.000000000001)*SIGN(H116+0.000000000001)</f>
        <v>-1</v>
      </c>
      <c r="I117" s="219">
        <f t="shared" ref="I117:S117" si="33">SIGN(I115+0.000000000001)*SIGN(I116+0.000000000001)</f>
        <v>1</v>
      </c>
      <c r="J117" s="219">
        <f t="shared" si="33"/>
        <v>-1</v>
      </c>
      <c r="K117" s="219">
        <f t="shared" si="33"/>
        <v>1</v>
      </c>
      <c r="L117" s="219">
        <f t="shared" si="33"/>
        <v>1</v>
      </c>
      <c r="M117" s="219">
        <f t="shared" si="33"/>
        <v>1</v>
      </c>
      <c r="N117" s="219">
        <f t="shared" si="33"/>
        <v>1</v>
      </c>
      <c r="O117" s="219">
        <f t="shared" si="33"/>
        <v>1</v>
      </c>
      <c r="P117" s="219">
        <f t="shared" si="33"/>
        <v>1</v>
      </c>
      <c r="Q117" s="219">
        <f t="shared" si="33"/>
        <v>1</v>
      </c>
      <c r="R117" s="219">
        <f t="shared" si="33"/>
        <v>1</v>
      </c>
      <c r="S117" s="219">
        <f t="shared" si="33"/>
        <v>1</v>
      </c>
    </row>
    <row r="118" spans="7:19">
      <c r="G118" s="146" t="s">
        <v>243</v>
      </c>
      <c r="H118" s="220">
        <f>IF(H117*MIN(ABS(H115),ABS(H116))&gt;1,0,H117*MIN(ABS(H115),ABS(H116)))</f>
        <v>-4.9999999750000002E-4</v>
      </c>
      <c r="I118" s="220">
        <f t="shared" ref="I118:S118" si="34">IF(I117*MIN(ABS(I115),ABS(I116))&gt;1,0,I117*MIN(ABS(I115),ABS(I116)))</f>
        <v>4.9999999750000002E-4</v>
      </c>
      <c r="J118" s="220">
        <f t="shared" si="34"/>
        <v>-5.000000025E-4</v>
      </c>
      <c r="K118" s="220">
        <f t="shared" si="34"/>
        <v>5.000000025E-4</v>
      </c>
      <c r="L118" s="220">
        <f t="shared" si="34"/>
        <v>0</v>
      </c>
      <c r="M118" s="220">
        <f t="shared" si="34"/>
        <v>0</v>
      </c>
      <c r="N118" s="220">
        <f t="shared" si="34"/>
        <v>0</v>
      </c>
      <c r="O118" s="220">
        <f t="shared" si="34"/>
        <v>0</v>
      </c>
      <c r="P118" s="220">
        <f t="shared" si="34"/>
        <v>0</v>
      </c>
      <c r="Q118" s="220">
        <f t="shared" si="34"/>
        <v>0</v>
      </c>
      <c r="R118" s="220">
        <f t="shared" si="34"/>
        <v>0</v>
      </c>
      <c r="S118" s="220">
        <f t="shared" si="34"/>
        <v>0</v>
      </c>
    </row>
    <row r="119" spans="7:19">
      <c r="H119" s="96" t="s">
        <v>242</v>
      </c>
      <c r="I119" s="96"/>
      <c r="J119" s="96"/>
      <c r="K119" s="96"/>
      <c r="L119" s="96"/>
      <c r="M119" s="96"/>
      <c r="N119" s="96"/>
      <c r="O119" s="96"/>
      <c r="P119" s="96"/>
      <c r="Q119" s="96"/>
      <c r="R119" s="96"/>
      <c r="S119" s="96"/>
    </row>
    <row r="120" spans="7:19">
      <c r="G120" s="141" t="s">
        <v>245</v>
      </c>
      <c r="H120" s="216">
        <f t="shared" ref="H120:S120" si="35">H56/(H31+0.000001)</f>
        <v>6.6666666222222227E-4</v>
      </c>
      <c r="I120" s="216">
        <f t="shared" si="35"/>
        <v>-6.6666667111111113E-4</v>
      </c>
      <c r="J120" s="216">
        <f t="shared" si="35"/>
        <v>-6.6666667111111113E-4</v>
      </c>
      <c r="K120" s="216">
        <f t="shared" si="35"/>
        <v>6.6666666222222227E-4</v>
      </c>
      <c r="L120" s="216">
        <f t="shared" si="35"/>
        <v>0</v>
      </c>
      <c r="M120" s="216">
        <f t="shared" si="35"/>
        <v>0</v>
      </c>
      <c r="N120" s="216">
        <f t="shared" si="35"/>
        <v>0</v>
      </c>
      <c r="O120" s="216">
        <f t="shared" si="35"/>
        <v>0</v>
      </c>
      <c r="P120" s="216">
        <f t="shared" si="35"/>
        <v>0</v>
      </c>
      <c r="Q120" s="216">
        <f t="shared" si="35"/>
        <v>0</v>
      </c>
      <c r="R120" s="216">
        <f t="shared" si="35"/>
        <v>0</v>
      </c>
      <c r="S120" s="216">
        <f t="shared" si="35"/>
        <v>0</v>
      </c>
    </row>
    <row r="121" spans="7:19">
      <c r="G121" s="141" t="s">
        <v>245</v>
      </c>
      <c r="H121" s="79">
        <f t="shared" ref="H121:S121" si="36">H55/(H32+0.000001)</f>
        <v>100000.00000000001</v>
      </c>
      <c r="I121" s="79">
        <f t="shared" si="36"/>
        <v>100000.00000000001</v>
      </c>
      <c r="J121" s="79">
        <f t="shared" si="36"/>
        <v>100000.00000000001</v>
      </c>
      <c r="K121" s="79">
        <f t="shared" si="36"/>
        <v>100000.00000000001</v>
      </c>
      <c r="L121" s="79">
        <f t="shared" si="36"/>
        <v>0</v>
      </c>
      <c r="M121" s="79">
        <f t="shared" si="36"/>
        <v>0</v>
      </c>
      <c r="N121" s="79">
        <f t="shared" si="36"/>
        <v>0</v>
      </c>
      <c r="O121" s="79">
        <f t="shared" si="36"/>
        <v>0</v>
      </c>
      <c r="P121" s="79">
        <f t="shared" si="36"/>
        <v>0</v>
      </c>
      <c r="Q121" s="79">
        <f t="shared" si="36"/>
        <v>0</v>
      </c>
      <c r="R121" s="79">
        <f t="shared" si="36"/>
        <v>0</v>
      </c>
      <c r="S121" s="79">
        <f t="shared" si="36"/>
        <v>0</v>
      </c>
    </row>
    <row r="122" spans="7:19">
      <c r="G122" s="79" t="s">
        <v>244</v>
      </c>
      <c r="H122" s="136">
        <f>SIGN(H120+0.000000000001)*SIGN(H121+0.000000000001)</f>
        <v>1</v>
      </c>
      <c r="I122" s="136">
        <f t="shared" ref="I122:S122" si="37">SIGN(I120+0.000000000001)*SIGN(I121+0.000000000001)</f>
        <v>-1</v>
      </c>
      <c r="J122" s="136">
        <f t="shared" si="37"/>
        <v>-1</v>
      </c>
      <c r="K122" s="136">
        <f t="shared" si="37"/>
        <v>1</v>
      </c>
      <c r="L122" s="136">
        <f t="shared" si="37"/>
        <v>1</v>
      </c>
      <c r="M122" s="136">
        <f t="shared" si="37"/>
        <v>1</v>
      </c>
      <c r="N122" s="136">
        <f t="shared" si="37"/>
        <v>1</v>
      </c>
      <c r="O122" s="136">
        <f t="shared" si="37"/>
        <v>1</v>
      </c>
      <c r="P122" s="136">
        <f t="shared" si="37"/>
        <v>1</v>
      </c>
      <c r="Q122" s="136">
        <f t="shared" si="37"/>
        <v>1</v>
      </c>
      <c r="R122" s="136">
        <f t="shared" si="37"/>
        <v>1</v>
      </c>
      <c r="S122" s="136">
        <f t="shared" si="37"/>
        <v>1</v>
      </c>
    </row>
    <row r="123" spans="7:19">
      <c r="G123" s="79" t="s">
        <v>243</v>
      </c>
      <c r="H123" s="216">
        <f>IF(H122*MIN(ABS(H120),ABS(H121))&gt;1,0,H122*MIN(ABS(H120),ABS(H121)))</f>
        <v>6.6666666222222227E-4</v>
      </c>
      <c r="I123" s="216">
        <f t="shared" ref="I123:S123" si="38">IF(I122*MIN(ABS(I120),ABS(I121))&gt;1,0,I122*MIN(ABS(I120),ABS(I121)))</f>
        <v>-6.6666667111111113E-4</v>
      </c>
      <c r="J123" s="216">
        <f t="shared" si="38"/>
        <v>-6.6666667111111113E-4</v>
      </c>
      <c r="K123" s="216">
        <f t="shared" si="38"/>
        <v>6.6666666222222227E-4</v>
      </c>
      <c r="L123" s="216">
        <f t="shared" si="38"/>
        <v>0</v>
      </c>
      <c r="M123" s="216">
        <f t="shared" si="38"/>
        <v>0</v>
      </c>
      <c r="N123" s="216">
        <f t="shared" si="38"/>
        <v>0</v>
      </c>
      <c r="O123" s="216">
        <f t="shared" si="38"/>
        <v>0</v>
      </c>
      <c r="P123" s="216">
        <f t="shared" si="38"/>
        <v>0</v>
      </c>
      <c r="Q123" s="216">
        <f t="shared" si="38"/>
        <v>0</v>
      </c>
      <c r="R123" s="216">
        <f t="shared" si="38"/>
        <v>0</v>
      </c>
      <c r="S123" s="216">
        <f t="shared" si="38"/>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5"/>
  <sheetViews>
    <sheetView topLeftCell="C34" zoomScale="232" zoomScaleNormal="232" zoomScalePageLayoutView="75" workbookViewId="0">
      <selection activeCell="H46" sqref="H46:K48"/>
    </sheetView>
  </sheetViews>
  <sheetFormatPr baseColWidth="10" defaultColWidth="11" defaultRowHeight="16"/>
  <cols>
    <col min="1" max="1" width="45.33203125" style="79" customWidth="1"/>
    <col min="2" max="2" width="20.5" style="79" customWidth="1"/>
    <col min="3" max="3" width="40" style="79" customWidth="1"/>
    <col min="4" max="4" width="12" style="79" customWidth="1"/>
    <col min="5" max="6" width="7.1640625" style="79" customWidth="1"/>
    <col min="7" max="7" width="16.33203125" style="79" customWidth="1"/>
    <col min="8" max="8" width="13.5" style="79" customWidth="1"/>
    <col min="9" max="11" width="11" style="79"/>
    <col min="12" max="12" width="16.1640625" style="79" customWidth="1"/>
    <col min="13" max="16384" width="11" style="79"/>
  </cols>
  <sheetData>
    <row r="1" spans="1:18">
      <c r="A1" s="197" t="str">
        <f>'CSs and Loads'!A111</f>
        <v>CS 4</v>
      </c>
      <c r="B1" s="197" t="str">
        <f>'CSs and Loads'!A121</f>
        <v>X-Axis structure</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141"/>
      <c r="R3" s="201"/>
    </row>
    <row r="4" spans="1:18">
      <c r="A4" s="80" t="s">
        <v>305</v>
      </c>
      <c r="B4" s="170" t="s">
        <v>9</v>
      </c>
      <c r="C4" s="80" t="s">
        <v>355</v>
      </c>
      <c r="D4" s="161"/>
      <c r="E4" s="400" t="s">
        <v>356</v>
      </c>
      <c r="F4" s="401"/>
      <c r="G4" s="401"/>
      <c r="H4" s="401"/>
      <c r="I4" s="401"/>
      <c r="J4" s="401"/>
      <c r="K4" s="401"/>
      <c r="L4" s="401"/>
      <c r="M4" s="402"/>
      <c r="N4" s="175"/>
      <c r="O4" s="141"/>
      <c r="R4" s="201"/>
    </row>
    <row r="5" spans="1:18">
      <c r="A5" s="107" t="s">
        <v>325</v>
      </c>
      <c r="B5" s="111" t="s">
        <v>333</v>
      </c>
      <c r="C5" s="96" t="s">
        <v>353</v>
      </c>
      <c r="D5" s="161">
        <v>25</v>
      </c>
      <c r="E5" s="176" t="s">
        <v>268</v>
      </c>
      <c r="F5" s="366" t="s">
        <v>271</v>
      </c>
      <c r="G5" s="139">
        <v>0</v>
      </c>
      <c r="H5" s="139">
        <v>0</v>
      </c>
      <c r="I5" s="139">
        <v>0</v>
      </c>
      <c r="J5" s="139">
        <v>0</v>
      </c>
      <c r="K5" s="139">
        <v>0</v>
      </c>
      <c r="L5" s="139">
        <v>0</v>
      </c>
      <c r="M5" s="177" t="s">
        <v>262</v>
      </c>
      <c r="N5" s="175"/>
      <c r="R5" s="201"/>
    </row>
    <row r="6" spans="1:18">
      <c r="A6" s="107" t="s">
        <v>328</v>
      </c>
      <c r="B6" s="80"/>
      <c r="C6" s="96" t="s">
        <v>32</v>
      </c>
      <c r="D6" s="161">
        <f>1770*9.8</f>
        <v>17346</v>
      </c>
      <c r="E6" s="176" t="s">
        <v>269</v>
      </c>
      <c r="F6" s="366"/>
      <c r="G6" s="139">
        <v>0</v>
      </c>
      <c r="H6" s="139">
        <v>0</v>
      </c>
      <c r="I6" s="139">
        <v>0</v>
      </c>
      <c r="J6" s="139">
        <v>0</v>
      </c>
      <c r="K6" s="139">
        <v>0</v>
      </c>
      <c r="L6" s="139">
        <v>0</v>
      </c>
      <c r="M6" s="177" t="s">
        <v>263</v>
      </c>
      <c r="N6" s="175"/>
      <c r="R6" s="201"/>
    </row>
    <row r="7" spans="1:18">
      <c r="A7" s="96" t="s">
        <v>277</v>
      </c>
      <c r="B7" s="80"/>
      <c r="C7" s="96" t="s">
        <v>230</v>
      </c>
      <c r="D7" s="161">
        <f>647*1000</f>
        <v>647000</v>
      </c>
      <c r="E7" s="176" t="s">
        <v>270</v>
      </c>
      <c r="F7" s="366"/>
      <c r="G7" s="139">
        <v>0</v>
      </c>
      <c r="H7" s="139">
        <v>0</v>
      </c>
      <c r="I7" s="139">
        <v>0</v>
      </c>
      <c r="J7" s="139">
        <v>0</v>
      </c>
      <c r="K7" s="139">
        <v>0</v>
      </c>
      <c r="L7" s="139">
        <v>0</v>
      </c>
      <c r="M7" s="177" t="s">
        <v>264</v>
      </c>
      <c r="N7" s="175"/>
      <c r="R7" s="201"/>
    </row>
    <row r="8" spans="1:18">
      <c r="A8" s="96" t="s">
        <v>273</v>
      </c>
      <c r="B8" s="80"/>
      <c r="C8" s="96" t="s">
        <v>33</v>
      </c>
      <c r="D8" s="161">
        <v>3</v>
      </c>
      <c r="E8" s="176" t="s">
        <v>259</v>
      </c>
      <c r="F8" s="366"/>
      <c r="G8" s="139">
        <v>0</v>
      </c>
      <c r="H8" s="139">
        <v>0</v>
      </c>
      <c r="I8" s="139">
        <v>0</v>
      </c>
      <c r="J8" s="139">
        <v>0</v>
      </c>
      <c r="K8" s="139">
        <v>0</v>
      </c>
      <c r="L8" s="139">
        <v>0</v>
      </c>
      <c r="M8" s="177" t="s">
        <v>265</v>
      </c>
      <c r="N8" s="175"/>
      <c r="R8" s="201"/>
    </row>
    <row r="9" spans="1:18">
      <c r="A9" s="96" t="s">
        <v>278</v>
      </c>
      <c r="B9" s="80"/>
      <c r="C9" s="96" t="s">
        <v>34</v>
      </c>
      <c r="D9" s="161">
        <v>0.01</v>
      </c>
      <c r="E9" s="176" t="s">
        <v>261</v>
      </c>
      <c r="F9" s="366"/>
      <c r="G9" s="139">
        <v>0</v>
      </c>
      <c r="H9" s="139">
        <v>0</v>
      </c>
      <c r="I9" s="139">
        <v>0</v>
      </c>
      <c r="J9" s="139">
        <v>0</v>
      </c>
      <c r="K9" s="139">
        <v>0</v>
      </c>
      <c r="L9" s="139">
        <v>0</v>
      </c>
      <c r="M9" s="177" t="s">
        <v>266</v>
      </c>
      <c r="N9" s="175"/>
      <c r="R9" s="201"/>
    </row>
    <row r="10" spans="1:18" ht="17" thickBot="1">
      <c r="A10" s="203" t="s">
        <v>330</v>
      </c>
      <c r="B10" s="80"/>
      <c r="C10" s="96" t="s">
        <v>274</v>
      </c>
      <c r="D10" s="229">
        <f>D6/(D8*D9)</f>
        <v>578200</v>
      </c>
      <c r="E10" s="178" t="s">
        <v>260</v>
      </c>
      <c r="F10" s="399"/>
      <c r="G10" s="181">
        <v>0</v>
      </c>
      <c r="H10" s="181">
        <v>0</v>
      </c>
      <c r="I10" s="181">
        <v>0</v>
      </c>
      <c r="J10" s="181">
        <v>0</v>
      </c>
      <c r="K10" s="181">
        <v>0</v>
      </c>
      <c r="L10" s="181">
        <v>0</v>
      </c>
      <c r="M10" s="180" t="s">
        <v>267</v>
      </c>
      <c r="N10" s="175"/>
      <c r="R10" s="201"/>
    </row>
    <row r="11" spans="1:18">
      <c r="A11" s="141" t="s">
        <v>335</v>
      </c>
      <c r="B11" s="203"/>
      <c r="C11" s="96" t="s">
        <v>35</v>
      </c>
      <c r="D11" s="80">
        <v>25</v>
      </c>
      <c r="E11" s="155"/>
      <c r="F11" s="155"/>
      <c r="G11" s="155"/>
      <c r="H11" s="155"/>
      <c r="I11" s="155"/>
      <c r="J11" s="155"/>
      <c r="K11" s="155"/>
      <c r="L11" s="155"/>
      <c r="M11" s="155"/>
      <c r="R11" s="201"/>
    </row>
    <row r="12" spans="1:18">
      <c r="A12" s="96" t="s">
        <v>221</v>
      </c>
      <c r="B12" s="80"/>
      <c r="C12" s="96" t="s">
        <v>365</v>
      </c>
      <c r="D12" s="95">
        <f>D7*D11^2/4</f>
        <v>101093750</v>
      </c>
      <c r="I12" s="80"/>
      <c r="O12" s="141"/>
      <c r="R12" s="201"/>
    </row>
    <row r="13" spans="1:18">
      <c r="A13" s="96" t="s">
        <v>303</v>
      </c>
      <c r="B13" s="80"/>
      <c r="C13" s="96" t="s">
        <v>275</v>
      </c>
      <c r="D13" s="95">
        <f>D7*D11^2/12</f>
        <v>33697916.666666664</v>
      </c>
      <c r="I13" s="80"/>
      <c r="O13" s="141"/>
      <c r="R13" s="201"/>
    </row>
    <row r="14" spans="1:18">
      <c r="A14" s="96" t="s">
        <v>324</v>
      </c>
      <c r="B14" s="80"/>
      <c r="C14" s="96" t="s">
        <v>276</v>
      </c>
      <c r="D14" s="92">
        <f>D13</f>
        <v>33697916.666666664</v>
      </c>
      <c r="I14" s="80"/>
      <c r="O14" s="141"/>
      <c r="R14" s="201"/>
    </row>
    <row r="15" spans="1:18">
      <c r="A15" s="96" t="s">
        <v>257</v>
      </c>
      <c r="B15" s="80"/>
      <c r="C15" s="107" t="s">
        <v>354</v>
      </c>
      <c r="D15" s="80"/>
      <c r="I15" s="80"/>
      <c r="O15" s="141"/>
      <c r="R15" s="201"/>
    </row>
    <row r="16" spans="1:18">
      <c r="A16" s="96" t="s">
        <v>258</v>
      </c>
      <c r="B16" s="80"/>
      <c r="C16" s="108" t="s">
        <v>253</v>
      </c>
      <c r="D16" s="111" t="s">
        <v>9</v>
      </c>
      <c r="I16" s="80"/>
      <c r="O16" s="141"/>
      <c r="R16" s="201"/>
    </row>
    <row r="17" spans="1:19">
      <c r="A17" s="250" t="s">
        <v>378</v>
      </c>
      <c r="B17" s="80"/>
      <c r="C17" s="109" t="s">
        <v>255</v>
      </c>
      <c r="D17" s="80">
        <v>18</v>
      </c>
      <c r="I17" s="80"/>
      <c r="O17" s="141"/>
      <c r="R17" s="201"/>
    </row>
    <row r="18" spans="1:19">
      <c r="A18" s="250" t="s">
        <v>379</v>
      </c>
      <c r="B18" s="80"/>
      <c r="C18" s="109" t="s">
        <v>221</v>
      </c>
      <c r="D18" s="92" t="e">
        <f>Summary!L16+Summary!N16</f>
        <v>#VALUE!</v>
      </c>
      <c r="I18" s="80"/>
      <c r="O18" s="141"/>
      <c r="R18" s="201"/>
    </row>
    <row r="19" spans="1:19">
      <c r="A19" s="96" t="s">
        <v>223</v>
      </c>
      <c r="B19" s="80"/>
      <c r="C19" s="96" t="s">
        <v>54</v>
      </c>
      <c r="D19" s="110">
        <v>200000</v>
      </c>
      <c r="I19" s="80"/>
      <c r="O19" s="141"/>
      <c r="R19" s="201"/>
    </row>
    <row r="20" spans="1:19">
      <c r="A20" s="96" t="s">
        <v>323</v>
      </c>
      <c r="B20" s="80"/>
      <c r="C20" s="109" t="s">
        <v>254</v>
      </c>
      <c r="D20" s="93" t="e">
        <f t="shared" ref="D20" si="0">PI()*D17^2/4*D19/D18</f>
        <v>#VALUE!</v>
      </c>
      <c r="I20" s="80"/>
      <c r="O20" s="141"/>
      <c r="R20" s="201"/>
    </row>
    <row r="21" spans="1:19" ht="17" thickBot="1">
      <c r="A21" s="231" t="s">
        <v>298</v>
      </c>
      <c r="B21" s="221"/>
      <c r="C21" s="231" t="s">
        <v>304</v>
      </c>
      <c r="D21" s="221">
        <v>3</v>
      </c>
      <c r="E21" s="168"/>
      <c r="F21" s="168"/>
      <c r="G21" s="168"/>
      <c r="H21" s="168"/>
      <c r="I21" s="221"/>
      <c r="J21" s="168"/>
      <c r="K21" s="168"/>
      <c r="L21" s="168"/>
      <c r="M21" s="168"/>
      <c r="O21" s="141"/>
      <c r="R21" s="201"/>
    </row>
    <row r="22" spans="1:19" ht="17" thickBot="1">
      <c r="A22" s="396" t="s">
        <v>344</v>
      </c>
      <c r="B22" s="397"/>
      <c r="C22" s="397"/>
      <c r="D22" s="397"/>
      <c r="E22" s="397"/>
      <c r="F22" s="397"/>
      <c r="G22" s="397"/>
      <c r="H22" s="397"/>
      <c r="I22" s="397"/>
      <c r="J22" s="397"/>
      <c r="K22" s="397"/>
      <c r="L22" s="397"/>
      <c r="M22" s="398"/>
      <c r="N22" s="244"/>
      <c r="O22" s="203"/>
      <c r="P22" s="203"/>
      <c r="Q22" s="203"/>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2588000</v>
      </c>
      <c r="C25" s="210">
        <v>0</v>
      </c>
      <c r="G25" s="234" t="s">
        <v>175</v>
      </c>
      <c r="O25" s="201"/>
      <c r="P25" s="201"/>
      <c r="Q25" s="201"/>
      <c r="R25" s="201"/>
    </row>
    <row r="26" spans="1:19">
      <c r="A26" s="209" t="s">
        <v>112</v>
      </c>
      <c r="B26" s="144">
        <f>SUM(H35:S35)+C26</f>
        <v>0</v>
      </c>
      <c r="C26" s="210">
        <v>0</v>
      </c>
      <c r="G26" s="80" t="s">
        <v>118</v>
      </c>
      <c r="O26" s="201"/>
      <c r="P26" s="201"/>
      <c r="Q26" s="201"/>
      <c r="R26" s="201"/>
    </row>
    <row r="27" spans="1:19">
      <c r="A27" s="209" t="s">
        <v>113</v>
      </c>
      <c r="B27" s="144">
        <f>SUM(H36:S36)+C27</f>
        <v>2588000</v>
      </c>
      <c r="C27" s="210">
        <v>0</v>
      </c>
      <c r="D27" s="85"/>
      <c r="E27" s="85"/>
      <c r="F27" s="85"/>
      <c r="G27" s="204" t="s">
        <v>127</v>
      </c>
      <c r="H27" s="205">
        <v>4</v>
      </c>
      <c r="O27" s="201"/>
      <c r="P27" s="201"/>
      <c r="Q27" s="201"/>
      <c r="R27" s="201"/>
    </row>
    <row r="28" spans="1:19">
      <c r="A28" s="96" t="s">
        <v>109</v>
      </c>
      <c r="B28" s="101"/>
      <c r="C28" s="192"/>
      <c r="D28" s="85"/>
      <c r="E28" s="85"/>
      <c r="F28" s="85"/>
      <c r="H28" s="387" t="s">
        <v>123</v>
      </c>
      <c r="I28" s="387"/>
      <c r="J28" s="387"/>
      <c r="K28" s="387"/>
      <c r="L28" s="387"/>
      <c r="M28" s="387"/>
      <c r="N28" s="387"/>
      <c r="O28" s="387"/>
      <c r="P28" s="387"/>
      <c r="Q28" s="387"/>
      <c r="R28" s="387"/>
      <c r="S28" s="387"/>
    </row>
    <row r="29" spans="1:19">
      <c r="A29" s="209" t="s">
        <v>8</v>
      </c>
      <c r="B29" s="144">
        <f>SUM(H38:S38)+SUM(H42:S42)+C29</f>
        <v>6874375000</v>
      </c>
      <c r="C29" s="210">
        <v>0</v>
      </c>
      <c r="D29" s="85"/>
      <c r="E29" s="85"/>
      <c r="F29" s="85"/>
      <c r="G29" s="80" t="s">
        <v>108</v>
      </c>
      <c r="H29" s="84">
        <v>1</v>
      </c>
      <c r="I29" s="84">
        <f>H29+1</f>
        <v>2</v>
      </c>
      <c r="J29" s="84">
        <f t="shared" ref="J29:R29" si="1">I29+1</f>
        <v>3</v>
      </c>
      <c r="K29" s="84">
        <f t="shared" si="1"/>
        <v>4</v>
      </c>
      <c r="L29" s="84">
        <f t="shared" si="1"/>
        <v>5</v>
      </c>
      <c r="M29" s="84">
        <f t="shared" si="1"/>
        <v>6</v>
      </c>
      <c r="N29" s="84">
        <f t="shared" si="1"/>
        <v>7</v>
      </c>
      <c r="O29" s="84">
        <f t="shared" si="1"/>
        <v>8</v>
      </c>
      <c r="P29" s="84">
        <f>O29+1</f>
        <v>9</v>
      </c>
      <c r="Q29" s="84">
        <f t="shared" si="1"/>
        <v>10</v>
      </c>
      <c r="R29" s="84">
        <f t="shared" si="1"/>
        <v>11</v>
      </c>
      <c r="S29" s="84">
        <f>R29+1</f>
        <v>12</v>
      </c>
    </row>
    <row r="30" spans="1:19">
      <c r="A30" s="209" t="s">
        <v>114</v>
      </c>
      <c r="B30" s="144">
        <f>SUM(H39:S39)+SUM(H43:S43)+C30</f>
        <v>6604791666.666667</v>
      </c>
      <c r="C30" s="210">
        <v>0</v>
      </c>
      <c r="D30" s="85"/>
      <c r="E30" s="85"/>
      <c r="F30" s="85"/>
      <c r="G30" s="96" t="s">
        <v>42</v>
      </c>
      <c r="H30" s="205">
        <v>0</v>
      </c>
      <c r="I30" s="205">
        <v>0</v>
      </c>
      <c r="J30" s="205">
        <v>0</v>
      </c>
      <c r="K30" s="205">
        <v>0</v>
      </c>
      <c r="L30" s="205">
        <v>0</v>
      </c>
      <c r="M30" s="205">
        <v>0</v>
      </c>
      <c r="N30" s="205">
        <v>0</v>
      </c>
      <c r="O30" s="205">
        <v>0</v>
      </c>
      <c r="P30" s="205">
        <v>0</v>
      </c>
      <c r="Q30" s="205">
        <v>0</v>
      </c>
      <c r="R30" s="205">
        <v>0</v>
      </c>
      <c r="S30" s="205">
        <v>0</v>
      </c>
    </row>
    <row r="31" spans="1:19">
      <c r="A31" s="209" t="s">
        <v>110</v>
      </c>
      <c r="B31" s="144">
        <f>SUM(H40:S40)+SUM(H44:S44)+C31</f>
        <v>6604791666.666667</v>
      </c>
      <c r="C31" s="210">
        <v>0</v>
      </c>
      <c r="D31" s="85"/>
      <c r="E31" s="85"/>
      <c r="F31" s="85"/>
      <c r="G31" s="96" t="s">
        <v>43</v>
      </c>
      <c r="H31" s="205">
        <v>50</v>
      </c>
      <c r="I31" s="205">
        <v>-50</v>
      </c>
      <c r="J31" s="205">
        <v>-50</v>
      </c>
      <c r="K31" s="205">
        <v>50</v>
      </c>
      <c r="L31" s="205">
        <v>0</v>
      </c>
      <c r="M31" s="205">
        <v>0</v>
      </c>
      <c r="N31" s="205">
        <v>0</v>
      </c>
      <c r="O31" s="205">
        <v>0</v>
      </c>
      <c r="P31" s="205">
        <v>0</v>
      </c>
      <c r="Q31" s="205">
        <v>0</v>
      </c>
      <c r="R31" s="205">
        <v>0</v>
      </c>
      <c r="S31" s="205">
        <v>0</v>
      </c>
    </row>
    <row r="32" spans="1:19">
      <c r="A32" s="388" t="s">
        <v>180</v>
      </c>
      <c r="B32" s="388"/>
      <c r="C32" s="388"/>
      <c r="D32" s="85"/>
      <c r="E32" s="85"/>
      <c r="F32" s="85"/>
      <c r="G32" s="96" t="s">
        <v>44</v>
      </c>
      <c r="H32" s="205">
        <v>50</v>
      </c>
      <c r="I32" s="205">
        <v>50</v>
      </c>
      <c r="J32" s="205">
        <v>-50</v>
      </c>
      <c r="K32" s="205">
        <v>-50</v>
      </c>
      <c r="L32" s="205">
        <v>0</v>
      </c>
      <c r="M32" s="205">
        <v>0</v>
      </c>
      <c r="N32" s="205">
        <v>0</v>
      </c>
      <c r="O32" s="205">
        <v>0</v>
      </c>
      <c r="P32" s="205">
        <v>0</v>
      </c>
      <c r="Q32" s="205">
        <v>0</v>
      </c>
      <c r="R32" s="205">
        <v>0</v>
      </c>
      <c r="S32" s="205">
        <v>0</v>
      </c>
    </row>
    <row r="33" spans="1:19">
      <c r="A33" s="388"/>
      <c r="B33" s="388"/>
      <c r="C33" s="388"/>
      <c r="G33" s="80" t="s">
        <v>124</v>
      </c>
      <c r="H33" s="389"/>
      <c r="I33" s="389"/>
      <c r="J33" s="389"/>
      <c r="K33" s="389"/>
    </row>
    <row r="34" spans="1:19">
      <c r="A34" s="388"/>
      <c r="B34" s="388"/>
      <c r="C34" s="388"/>
      <c r="D34" s="85"/>
      <c r="E34" s="85"/>
      <c r="F34" s="85"/>
      <c r="G34" s="96" t="s">
        <v>111</v>
      </c>
      <c r="H34" s="134">
        <f>D7</f>
        <v>647000</v>
      </c>
      <c r="I34" s="134">
        <f>H34</f>
        <v>647000</v>
      </c>
      <c r="J34" s="134">
        <f t="shared" ref="J34:K34" si="2">I34</f>
        <v>647000</v>
      </c>
      <c r="K34" s="134">
        <f t="shared" si="2"/>
        <v>647000</v>
      </c>
      <c r="L34" s="205">
        <v>0</v>
      </c>
      <c r="M34" s="205">
        <v>0</v>
      </c>
      <c r="N34" s="205">
        <v>0</v>
      </c>
      <c r="O34" s="205">
        <v>0</v>
      </c>
      <c r="P34" s="205">
        <v>0</v>
      </c>
      <c r="Q34" s="205">
        <v>0</v>
      </c>
      <c r="R34" s="205">
        <v>0</v>
      </c>
      <c r="S34" s="205">
        <v>0</v>
      </c>
    </row>
    <row r="35" spans="1:19">
      <c r="A35" s="212" t="s">
        <v>176</v>
      </c>
      <c r="B35" s="205"/>
      <c r="C35" s="205"/>
      <c r="D35" s="85"/>
      <c r="E35" s="85"/>
      <c r="F35" s="85"/>
      <c r="G35" s="96" t="s">
        <v>112</v>
      </c>
      <c r="H35" s="134">
        <v>0</v>
      </c>
      <c r="I35" s="134">
        <f>H35</f>
        <v>0</v>
      </c>
      <c r="J35" s="134">
        <f t="shared" ref="J35:K36" si="3">I35</f>
        <v>0</v>
      </c>
      <c r="K35" s="134">
        <f t="shared" si="3"/>
        <v>0</v>
      </c>
      <c r="L35" s="205">
        <v>0</v>
      </c>
      <c r="M35" s="205">
        <v>0</v>
      </c>
      <c r="N35" s="205">
        <v>0</v>
      </c>
      <c r="O35" s="205">
        <v>0</v>
      </c>
      <c r="P35" s="205">
        <v>0</v>
      </c>
      <c r="Q35" s="205">
        <v>0</v>
      </c>
      <c r="R35" s="205">
        <v>0</v>
      </c>
      <c r="S35" s="205">
        <v>0</v>
      </c>
    </row>
    <row r="36" spans="1:19">
      <c r="A36" s="79" t="s">
        <v>103</v>
      </c>
      <c r="D36" s="85"/>
      <c r="E36" s="85"/>
      <c r="F36" s="85"/>
      <c r="G36" s="96" t="s">
        <v>113</v>
      </c>
      <c r="H36" s="134">
        <f>D7</f>
        <v>647000</v>
      </c>
      <c r="I36" s="134">
        <f>H36</f>
        <v>647000</v>
      </c>
      <c r="J36" s="134">
        <f t="shared" si="3"/>
        <v>647000</v>
      </c>
      <c r="K36" s="134">
        <f t="shared" si="3"/>
        <v>647000</v>
      </c>
      <c r="L36" s="205">
        <v>0</v>
      </c>
      <c r="M36" s="205">
        <v>0</v>
      </c>
      <c r="N36" s="205">
        <v>0</v>
      </c>
      <c r="O36" s="205">
        <v>0</v>
      </c>
      <c r="P36" s="205">
        <v>0</v>
      </c>
      <c r="Q36" s="205">
        <v>0</v>
      </c>
      <c r="R36" s="205">
        <v>0</v>
      </c>
      <c r="S36" s="205">
        <v>0</v>
      </c>
    </row>
    <row r="37" spans="1:19">
      <c r="A37" s="96" t="s">
        <v>177</v>
      </c>
      <c r="B37" s="205">
        <v>0</v>
      </c>
      <c r="D37" s="85"/>
      <c r="E37" s="85"/>
      <c r="F37" s="85"/>
      <c r="G37" s="80" t="s">
        <v>125</v>
      </c>
      <c r="H37" s="389"/>
      <c r="I37" s="389"/>
      <c r="J37" s="389"/>
      <c r="K37" s="389"/>
    </row>
    <row r="38" spans="1:19">
      <c r="A38" s="96" t="s">
        <v>178</v>
      </c>
      <c r="B38" s="205">
        <v>0</v>
      </c>
      <c r="D38" s="85"/>
      <c r="E38" s="85"/>
      <c r="F38" s="85"/>
      <c r="G38" s="96" t="s">
        <v>8</v>
      </c>
      <c r="H38" s="134">
        <f>'ref bearings, servo, structure'!B10</f>
        <v>101093750</v>
      </c>
      <c r="I38" s="134">
        <f>H38</f>
        <v>101093750</v>
      </c>
      <c r="J38" s="134">
        <f t="shared" ref="J38:K38" si="4">I38</f>
        <v>101093750</v>
      </c>
      <c r="K38" s="134">
        <f t="shared" si="4"/>
        <v>101093750</v>
      </c>
      <c r="L38" s="205">
        <v>0</v>
      </c>
      <c r="M38" s="205">
        <v>0</v>
      </c>
      <c r="N38" s="205">
        <v>0</v>
      </c>
      <c r="O38" s="205">
        <v>0</v>
      </c>
      <c r="P38" s="205">
        <v>0</v>
      </c>
      <c r="Q38" s="205">
        <v>0</v>
      </c>
      <c r="R38" s="205">
        <v>0</v>
      </c>
      <c r="S38" s="205">
        <v>0</v>
      </c>
    </row>
    <row r="39" spans="1:19">
      <c r="A39" s="96" t="s">
        <v>179</v>
      </c>
      <c r="B39" s="205">
        <v>0</v>
      </c>
      <c r="D39" s="85"/>
      <c r="E39" s="85"/>
      <c r="F39" s="85"/>
      <c r="G39" s="96" t="s">
        <v>114</v>
      </c>
      <c r="H39" s="134">
        <f>'ref bearings, servo, structure'!B12</f>
        <v>33697916.666666664</v>
      </c>
      <c r="I39" s="134">
        <f t="shared" ref="I39:K40" si="5">H39</f>
        <v>33697916.666666664</v>
      </c>
      <c r="J39" s="134">
        <f t="shared" si="5"/>
        <v>33697916.666666664</v>
      </c>
      <c r="K39" s="134">
        <f t="shared" si="5"/>
        <v>33697916.666666664</v>
      </c>
      <c r="L39" s="205">
        <v>0</v>
      </c>
      <c r="M39" s="205">
        <v>0</v>
      </c>
      <c r="N39" s="205">
        <v>0</v>
      </c>
      <c r="O39" s="205">
        <v>0</v>
      </c>
      <c r="P39" s="205">
        <v>0</v>
      </c>
      <c r="Q39" s="205">
        <v>0</v>
      </c>
      <c r="R39" s="205">
        <v>0</v>
      </c>
      <c r="S39" s="205">
        <v>0</v>
      </c>
    </row>
    <row r="40" spans="1:19">
      <c r="A40" s="141" t="s">
        <v>104</v>
      </c>
      <c r="G40" s="96" t="s">
        <v>110</v>
      </c>
      <c r="H40" s="134">
        <f>'ref bearings, servo, structure'!B11</f>
        <v>33697916.666666664</v>
      </c>
      <c r="I40" s="134">
        <f t="shared" si="5"/>
        <v>33697916.666666664</v>
      </c>
      <c r="J40" s="134">
        <f t="shared" si="5"/>
        <v>33697916.666666664</v>
      </c>
      <c r="K40" s="134">
        <f t="shared" si="5"/>
        <v>33697916.666666664</v>
      </c>
      <c r="L40" s="205">
        <v>0</v>
      </c>
      <c r="M40" s="205">
        <v>0</v>
      </c>
      <c r="N40" s="205">
        <v>0</v>
      </c>
      <c r="O40" s="205">
        <v>0</v>
      </c>
      <c r="P40" s="205">
        <v>0</v>
      </c>
      <c r="Q40" s="205">
        <v>0</v>
      </c>
      <c r="R40" s="205">
        <v>0</v>
      </c>
      <c r="S40" s="205">
        <v>0</v>
      </c>
    </row>
    <row r="41" spans="1:19">
      <c r="A41" s="96" t="s">
        <v>177</v>
      </c>
      <c r="B41" s="205">
        <v>0</v>
      </c>
      <c r="D41" s="208"/>
      <c r="E41" s="208"/>
      <c r="F41" s="208"/>
      <c r="G41" s="80" t="s">
        <v>119</v>
      </c>
    </row>
    <row r="42" spans="1:19">
      <c r="A42" s="96" t="s">
        <v>178</v>
      </c>
      <c r="B42" s="205">
        <v>0</v>
      </c>
      <c r="D42" s="146"/>
      <c r="E42" s="146"/>
      <c r="F42" s="146"/>
      <c r="G42" s="96" t="s">
        <v>8</v>
      </c>
      <c r="H42" s="144">
        <f>H35*H32^2+H36*H31^2</f>
        <v>1617500000</v>
      </c>
      <c r="I42" s="144">
        <f t="shared" ref="I42:S42" si="6">I35*I32^2+I36*I31^2</f>
        <v>1617500000</v>
      </c>
      <c r="J42" s="144">
        <f t="shared" si="6"/>
        <v>1617500000</v>
      </c>
      <c r="K42" s="144">
        <f t="shared" si="6"/>
        <v>1617500000</v>
      </c>
      <c r="L42" s="99">
        <f t="shared" si="6"/>
        <v>0</v>
      </c>
      <c r="M42" s="99">
        <f t="shared" si="6"/>
        <v>0</v>
      </c>
      <c r="N42" s="99">
        <f t="shared" si="6"/>
        <v>0</v>
      </c>
      <c r="O42" s="99">
        <f t="shared" si="6"/>
        <v>0</v>
      </c>
      <c r="P42" s="99">
        <f t="shared" si="6"/>
        <v>0</v>
      </c>
      <c r="Q42" s="99">
        <f t="shared" si="6"/>
        <v>0</v>
      </c>
      <c r="R42" s="99">
        <f t="shared" si="6"/>
        <v>0</v>
      </c>
      <c r="S42" s="99">
        <f t="shared" si="6"/>
        <v>0</v>
      </c>
    </row>
    <row r="43" spans="1:19">
      <c r="A43" s="96" t="s">
        <v>179</v>
      </c>
      <c r="B43" s="205">
        <v>0</v>
      </c>
      <c r="D43" s="210"/>
      <c r="E43" s="210"/>
      <c r="F43" s="210"/>
      <c r="G43" s="96" t="s">
        <v>114</v>
      </c>
      <c r="H43" s="144">
        <f>H34*H32^2+H36*H30^2</f>
        <v>1617500000</v>
      </c>
      <c r="I43" s="144">
        <f t="shared" ref="I43:S43" si="7">I34*I32^2+I36*I30^2</f>
        <v>1617500000</v>
      </c>
      <c r="J43" s="144">
        <f t="shared" si="7"/>
        <v>1617500000</v>
      </c>
      <c r="K43" s="144">
        <f t="shared" si="7"/>
        <v>1617500000</v>
      </c>
      <c r="L43" s="99">
        <f t="shared" si="7"/>
        <v>0</v>
      </c>
      <c r="M43" s="99">
        <f t="shared" si="7"/>
        <v>0</v>
      </c>
      <c r="N43" s="99">
        <f t="shared" si="7"/>
        <v>0</v>
      </c>
      <c r="O43" s="99">
        <f t="shared" si="7"/>
        <v>0</v>
      </c>
      <c r="P43" s="99">
        <f t="shared" si="7"/>
        <v>0</v>
      </c>
      <c r="Q43" s="99">
        <f t="shared" si="7"/>
        <v>0</v>
      </c>
      <c r="R43" s="99">
        <f t="shared" si="7"/>
        <v>0</v>
      </c>
      <c r="S43" s="99">
        <f t="shared" si="7"/>
        <v>0</v>
      </c>
    </row>
    <row r="44" spans="1:19">
      <c r="A44" s="206" t="s">
        <v>194</v>
      </c>
      <c r="C44" s="85"/>
      <c r="D44" s="210"/>
      <c r="E44" s="210"/>
      <c r="F44" s="210"/>
      <c r="G44" s="96" t="s">
        <v>110</v>
      </c>
      <c r="H44" s="144">
        <f>H34*H31^2+H35*H30^2</f>
        <v>1617500000</v>
      </c>
      <c r="I44" s="144">
        <f t="shared" ref="I44:S44" si="8">I34*I31^2+I35*I30^2</f>
        <v>1617500000</v>
      </c>
      <c r="J44" s="144">
        <f t="shared" si="8"/>
        <v>1617500000</v>
      </c>
      <c r="K44" s="144">
        <f t="shared" si="8"/>
        <v>1617500000</v>
      </c>
      <c r="L44" s="99">
        <f t="shared" si="8"/>
        <v>0</v>
      </c>
      <c r="M44" s="99">
        <f t="shared" si="8"/>
        <v>0</v>
      </c>
      <c r="N44" s="99">
        <f t="shared" si="8"/>
        <v>0</v>
      </c>
      <c r="O44" s="99">
        <f t="shared" si="8"/>
        <v>0</v>
      </c>
      <c r="P44" s="99">
        <f t="shared" si="8"/>
        <v>0</v>
      </c>
      <c r="Q44" s="99">
        <f t="shared" si="8"/>
        <v>0</v>
      </c>
      <c r="R44" s="99">
        <f t="shared" si="8"/>
        <v>0</v>
      </c>
      <c r="S44" s="99">
        <f t="shared" si="8"/>
        <v>0</v>
      </c>
    </row>
    <row r="45" spans="1:19">
      <c r="A45" s="96" t="s">
        <v>115</v>
      </c>
      <c r="B45" s="99">
        <f>SQRT((H46^2+I46^2+J46^2+K46^2+L46^2+M46^2+N46^2+O46^2+P46^2+Q46^2+R46^2+S46^2)/H$27)</f>
        <v>5.0000000000000001E-3</v>
      </c>
      <c r="C45" s="85"/>
      <c r="D45" s="210"/>
      <c r="E45" s="210"/>
      <c r="F45" s="210"/>
      <c r="G45" s="80" t="s">
        <v>293</v>
      </c>
    </row>
    <row r="46" spans="1:19">
      <c r="A46" s="96" t="s">
        <v>116</v>
      </c>
      <c r="B46" s="99">
        <f>SQRT((H47^2+I47^2+J47^2+K47^2+L47^2+M47^2+N47^2+O47^2+P47^2+Q47^2+R47^2+S47^2)/H$27)</f>
        <v>5.0000000000000001E-3</v>
      </c>
      <c r="C46" s="85"/>
      <c r="D46" s="192"/>
      <c r="E46" s="192"/>
      <c r="F46" s="192"/>
      <c r="G46" s="96" t="s">
        <v>115</v>
      </c>
      <c r="H46" s="205">
        <f t="shared" ref="H46:K48" si="9">IF(REBS="YES", REB, 0.005)</f>
        <v>5.0000000000000001E-3</v>
      </c>
      <c r="I46" s="205">
        <f t="shared" si="9"/>
        <v>5.0000000000000001E-3</v>
      </c>
      <c r="J46" s="205">
        <f t="shared" si="9"/>
        <v>5.0000000000000001E-3</v>
      </c>
      <c r="K46" s="205">
        <f t="shared" si="9"/>
        <v>5.0000000000000001E-3</v>
      </c>
      <c r="L46" s="205">
        <v>0</v>
      </c>
      <c r="M46" s="205">
        <v>0</v>
      </c>
      <c r="N46" s="205">
        <v>0</v>
      </c>
      <c r="O46" s="205">
        <v>0</v>
      </c>
      <c r="P46" s="205">
        <v>0</v>
      </c>
      <c r="Q46" s="205">
        <v>0</v>
      </c>
      <c r="R46" s="205">
        <v>0</v>
      </c>
      <c r="S46" s="205">
        <v>0</v>
      </c>
    </row>
    <row r="47" spans="1:19">
      <c r="A47" s="96" t="s">
        <v>117</v>
      </c>
      <c r="B47" s="99">
        <f>SQRT((H48^2+I48^2+J48^2+K48^2+L48^2+M48^2+N48^2+O48^2+P48^2+Q48^2+R48^2+S48^2)/H$27)</f>
        <v>5.0000000000000001E-3</v>
      </c>
      <c r="C47" s="85"/>
      <c r="D47" s="210"/>
      <c r="E47" s="210"/>
      <c r="F47" s="210"/>
      <c r="G47" s="96" t="s">
        <v>116</v>
      </c>
      <c r="H47" s="205">
        <f t="shared" si="9"/>
        <v>5.0000000000000001E-3</v>
      </c>
      <c r="I47" s="205">
        <f t="shared" si="9"/>
        <v>5.0000000000000001E-3</v>
      </c>
      <c r="J47" s="205">
        <f t="shared" si="9"/>
        <v>5.0000000000000001E-3</v>
      </c>
      <c r="K47" s="205">
        <f t="shared" si="9"/>
        <v>5.0000000000000001E-3</v>
      </c>
      <c r="L47" s="205">
        <v>0</v>
      </c>
      <c r="M47" s="205">
        <v>0</v>
      </c>
      <c r="N47" s="205">
        <v>0</v>
      </c>
      <c r="O47" s="205">
        <v>0</v>
      </c>
      <c r="P47" s="205">
        <v>0</v>
      </c>
      <c r="Q47" s="205">
        <v>0</v>
      </c>
      <c r="R47" s="205">
        <v>0</v>
      </c>
      <c r="S47" s="205">
        <v>0</v>
      </c>
    </row>
    <row r="48" spans="1:19">
      <c r="A48" s="96" t="s">
        <v>80</v>
      </c>
      <c r="B48" s="99">
        <f>SQRT((H50^2+I50^2+J50^2+K50^2+L50^2+M50^2+N50^2+O50^2+P50^2+Q50^2+R50^2+S50^2+B37^2)/H$27)</f>
        <v>9.9999999000000077E-5</v>
      </c>
      <c r="D48" s="210"/>
      <c r="E48" s="210"/>
      <c r="F48" s="210"/>
      <c r="G48" s="96" t="s">
        <v>117</v>
      </c>
      <c r="H48" s="205">
        <f t="shared" si="9"/>
        <v>5.0000000000000001E-3</v>
      </c>
      <c r="I48" s="205">
        <f t="shared" si="9"/>
        <v>5.0000000000000001E-3</v>
      </c>
      <c r="J48" s="205">
        <f t="shared" si="9"/>
        <v>5.0000000000000001E-3</v>
      </c>
      <c r="K48" s="205">
        <f t="shared" si="9"/>
        <v>5.0000000000000001E-3</v>
      </c>
      <c r="L48" s="205">
        <v>0</v>
      </c>
      <c r="M48" s="205">
        <v>0</v>
      </c>
      <c r="N48" s="205">
        <v>0</v>
      </c>
      <c r="O48" s="205">
        <v>0</v>
      </c>
      <c r="P48" s="205">
        <v>0</v>
      </c>
      <c r="Q48" s="205">
        <v>0</v>
      </c>
      <c r="R48" s="205">
        <v>0</v>
      </c>
      <c r="S48" s="205">
        <v>0</v>
      </c>
    </row>
    <row r="49" spans="1:20">
      <c r="A49" s="96" t="s">
        <v>81</v>
      </c>
      <c r="B49" s="99">
        <f>SQRT((H51^2+I51^2+J51^2+K51^2+L51^2+M51^2+N51^2+O51^2+P51^2+Q51^2+R51^2+S51^2+B38^2)/H$27)</f>
        <v>1.0000000000000007E-4</v>
      </c>
      <c r="D49" s="210"/>
      <c r="E49" s="210"/>
      <c r="F49" s="210"/>
      <c r="G49" s="80" t="s">
        <v>238</v>
      </c>
    </row>
    <row r="50" spans="1:20">
      <c r="A50" s="96" t="s">
        <v>82</v>
      </c>
      <c r="B50" s="99">
        <f>SQRT((H52^2+I52^2+J52^2+K52^2+L52^2+M52^2+N52^2+O52^2+P52^2+Q52^2+R52^2+S52^2+B39^2)/H$27)</f>
        <v>1.0000000000000007E-4</v>
      </c>
      <c r="D50" s="211"/>
      <c r="E50" s="211"/>
      <c r="F50" s="211"/>
      <c r="G50" s="96" t="s">
        <v>80</v>
      </c>
      <c r="H50" s="144">
        <f>H97</f>
        <v>9.9999998000000053E-5</v>
      </c>
      <c r="I50" s="144">
        <f t="shared" ref="I50:S50" si="10">I97</f>
        <v>9.9999998000000053E-5</v>
      </c>
      <c r="J50" s="144">
        <f t="shared" si="10"/>
        <v>1.0000000200000004E-4</v>
      </c>
      <c r="K50" s="144">
        <f t="shared" si="10"/>
        <v>9.9999998000000053E-5</v>
      </c>
      <c r="L50" s="144">
        <f t="shared" si="10"/>
        <v>0</v>
      </c>
      <c r="M50" s="144">
        <f t="shared" si="10"/>
        <v>0</v>
      </c>
      <c r="N50" s="144">
        <f t="shared" si="10"/>
        <v>0</v>
      </c>
      <c r="O50" s="144">
        <f t="shared" si="10"/>
        <v>0</v>
      </c>
      <c r="P50" s="144">
        <f t="shared" si="10"/>
        <v>0</v>
      </c>
      <c r="Q50" s="144">
        <f t="shared" si="10"/>
        <v>0</v>
      </c>
      <c r="R50" s="144">
        <f t="shared" si="10"/>
        <v>0</v>
      </c>
      <c r="S50" s="144">
        <f t="shared" si="10"/>
        <v>0</v>
      </c>
    </row>
    <row r="51" spans="1:20" ht="51">
      <c r="A51" s="207" t="s">
        <v>195</v>
      </c>
      <c r="B51" s="101"/>
      <c r="D51" s="211"/>
      <c r="E51" s="211"/>
      <c r="F51" s="211"/>
      <c r="G51" s="96" t="s">
        <v>81</v>
      </c>
      <c r="H51" s="144">
        <f>H101</f>
        <v>9.9999998000000053E-5</v>
      </c>
      <c r="I51" s="144">
        <f t="shared" ref="I51:S51" si="11">I101</f>
        <v>9.9999998000000053E-5</v>
      </c>
      <c r="J51" s="144">
        <f t="shared" si="11"/>
        <v>1.0000000200000004E-4</v>
      </c>
      <c r="K51" s="144">
        <f t="shared" si="11"/>
        <v>1.0000000200000004E-4</v>
      </c>
      <c r="L51" s="144">
        <f t="shared" si="11"/>
        <v>0</v>
      </c>
      <c r="M51" s="144">
        <f t="shared" si="11"/>
        <v>0</v>
      </c>
      <c r="N51" s="144">
        <f t="shared" si="11"/>
        <v>0</v>
      </c>
      <c r="O51" s="144">
        <f t="shared" si="11"/>
        <v>0</v>
      </c>
      <c r="P51" s="144">
        <f t="shared" si="11"/>
        <v>0</v>
      </c>
      <c r="Q51" s="144">
        <f t="shared" si="11"/>
        <v>0</v>
      </c>
      <c r="R51" s="144">
        <f t="shared" si="11"/>
        <v>0</v>
      </c>
      <c r="S51" s="144">
        <f t="shared" si="11"/>
        <v>0</v>
      </c>
      <c r="T51" s="81"/>
    </row>
    <row r="52" spans="1:20">
      <c r="A52" s="96" t="s">
        <v>115</v>
      </c>
      <c r="B52" s="99">
        <f>SQRT((H54^2+I54^2+J54^2+K54^2+L54^2+M54^2+N54^2+O54^2+P54^2+Q54^2+R54^2+S54^2)/H$27)</f>
        <v>0</v>
      </c>
      <c r="D52" s="211"/>
      <c r="E52" s="211"/>
      <c r="F52" s="211"/>
      <c r="G52" s="96" t="s">
        <v>82</v>
      </c>
      <c r="H52" s="144">
        <f>H105</f>
        <v>9.9999998000000053E-5</v>
      </c>
      <c r="I52" s="144">
        <f t="shared" ref="I52:S52" si="12">I105</f>
        <v>1.0000000200000004E-4</v>
      </c>
      <c r="J52" s="144">
        <f t="shared" si="12"/>
        <v>1.0000000200000004E-4</v>
      </c>
      <c r="K52" s="144">
        <f t="shared" si="12"/>
        <v>9.9999998000000053E-5</v>
      </c>
      <c r="L52" s="144">
        <f t="shared" si="12"/>
        <v>0</v>
      </c>
      <c r="M52" s="144">
        <f t="shared" si="12"/>
        <v>0</v>
      </c>
      <c r="N52" s="144">
        <f t="shared" si="12"/>
        <v>0</v>
      </c>
      <c r="O52" s="144">
        <f t="shared" si="12"/>
        <v>0</v>
      </c>
      <c r="P52" s="144">
        <f t="shared" si="12"/>
        <v>0</v>
      </c>
      <c r="Q52" s="144">
        <f t="shared" si="12"/>
        <v>0</v>
      </c>
      <c r="R52" s="144">
        <f t="shared" si="12"/>
        <v>0</v>
      </c>
      <c r="S52" s="144">
        <f t="shared" si="12"/>
        <v>0</v>
      </c>
    </row>
    <row r="53" spans="1:20">
      <c r="A53" s="96" t="s">
        <v>116</v>
      </c>
      <c r="B53" s="99">
        <f>SQRT((H55^2+I55^2+J55^2+K55^2+L55^2+M55^2+N55^2+O55^2+P55^2+Q55^2+R55^2+S55^2)/H$27)</f>
        <v>0</v>
      </c>
      <c r="D53" s="205"/>
      <c r="E53" s="205"/>
      <c r="F53" s="205"/>
      <c r="G53" s="80" t="s">
        <v>317</v>
      </c>
    </row>
    <row r="54" spans="1:20">
      <c r="A54" s="96" t="s">
        <v>117</v>
      </c>
      <c r="B54" s="99">
        <f>SQRT((H56^2+I56^2+J56^2+K56^2+L56^2+M56^2+N56^2+O56^2+P56^2+Q56^2+R56^2+S56^2)/H$27)</f>
        <v>0</v>
      </c>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G57" s="80" t="s">
        <v>239</v>
      </c>
    </row>
    <row r="58" spans="1:20">
      <c r="G58" s="96" t="s">
        <v>80</v>
      </c>
      <c r="H58" s="213">
        <f>H112</f>
        <v>0</v>
      </c>
      <c r="I58" s="213">
        <f t="shared" ref="I58:S58" si="13">I112</f>
        <v>0</v>
      </c>
      <c r="J58" s="213">
        <f t="shared" si="13"/>
        <v>0</v>
      </c>
      <c r="K58" s="213">
        <f t="shared" si="13"/>
        <v>0</v>
      </c>
      <c r="L58" s="213">
        <f t="shared" si="13"/>
        <v>0</v>
      </c>
      <c r="M58" s="213">
        <f t="shared" si="13"/>
        <v>0</v>
      </c>
      <c r="N58" s="213">
        <f t="shared" si="13"/>
        <v>0</v>
      </c>
      <c r="O58" s="213">
        <f t="shared" si="13"/>
        <v>0</v>
      </c>
      <c r="P58" s="213">
        <f t="shared" si="13"/>
        <v>0</v>
      </c>
      <c r="Q58" s="213">
        <f t="shared" si="13"/>
        <v>0</v>
      </c>
      <c r="R58" s="213">
        <f t="shared" si="13"/>
        <v>0</v>
      </c>
      <c r="S58" s="213">
        <f t="shared" si="13"/>
        <v>0</v>
      </c>
    </row>
    <row r="59" spans="1:20">
      <c r="A59" s="292" t="s">
        <v>387</v>
      </c>
      <c r="B59" s="292"/>
      <c r="G59" s="96" t="s">
        <v>81</v>
      </c>
      <c r="H59" s="213">
        <f>H117</f>
        <v>0</v>
      </c>
      <c r="I59" s="213">
        <f t="shared" ref="I59:S59" si="14">I117</f>
        <v>0</v>
      </c>
      <c r="J59" s="213">
        <f t="shared" si="14"/>
        <v>0</v>
      </c>
      <c r="K59" s="213">
        <f t="shared" si="14"/>
        <v>0</v>
      </c>
      <c r="L59" s="213">
        <f t="shared" si="14"/>
        <v>0</v>
      </c>
      <c r="M59" s="213">
        <f t="shared" si="14"/>
        <v>0</v>
      </c>
      <c r="N59" s="213">
        <f t="shared" si="14"/>
        <v>0</v>
      </c>
      <c r="O59" s="213">
        <f t="shared" si="14"/>
        <v>0</v>
      </c>
      <c r="P59" s="213">
        <f t="shared" si="14"/>
        <v>0</v>
      </c>
      <c r="Q59" s="213">
        <f t="shared" si="14"/>
        <v>0</v>
      </c>
      <c r="R59" s="213">
        <f t="shared" si="14"/>
        <v>0</v>
      </c>
      <c r="S59" s="213">
        <f t="shared" si="14"/>
        <v>0</v>
      </c>
    </row>
    <row r="60" spans="1:20">
      <c r="A60" s="293" t="s">
        <v>80</v>
      </c>
      <c r="B60" s="294">
        <f>IF(MAX(ABS(B48),ABS(B55))=0, 0.001, MAX(ABS(B48),ABS(B55)))</f>
        <v>9.9999999000000077E-5</v>
      </c>
      <c r="G60" s="96" t="s">
        <v>82</v>
      </c>
      <c r="H60" s="213">
        <f>H122</f>
        <v>0</v>
      </c>
      <c r="I60" s="213">
        <f t="shared" ref="I60:S60" si="15">I122</f>
        <v>0</v>
      </c>
      <c r="J60" s="213">
        <f t="shared" si="15"/>
        <v>0</v>
      </c>
      <c r="K60" s="213">
        <f t="shared" si="15"/>
        <v>0</v>
      </c>
      <c r="L60" s="213">
        <f t="shared" si="15"/>
        <v>0</v>
      </c>
      <c r="M60" s="213">
        <f t="shared" si="15"/>
        <v>0</v>
      </c>
      <c r="N60" s="213">
        <f t="shared" si="15"/>
        <v>0</v>
      </c>
      <c r="O60" s="213">
        <f t="shared" si="15"/>
        <v>0</v>
      </c>
      <c r="P60" s="213">
        <f t="shared" si="15"/>
        <v>0</v>
      </c>
      <c r="Q60" s="213">
        <f t="shared" si="15"/>
        <v>0</v>
      </c>
      <c r="R60" s="213">
        <f t="shared" si="15"/>
        <v>0</v>
      </c>
      <c r="S60" s="213">
        <f t="shared" si="15"/>
        <v>0</v>
      </c>
    </row>
    <row r="61" spans="1:20">
      <c r="A61" s="293" t="s">
        <v>81</v>
      </c>
      <c r="B61" s="294">
        <f t="shared" ref="B61:B62" si="16">IF(MAX(ABS(B49),ABS(B56))=0, 0.001, MAX(ABS(B49),ABS(B56)))</f>
        <v>1.0000000000000007E-4</v>
      </c>
      <c r="G61" s="206"/>
    </row>
    <row r="62" spans="1:20">
      <c r="A62" s="293" t="s">
        <v>82</v>
      </c>
      <c r="B62" s="294">
        <f t="shared" si="16"/>
        <v>1.0000000000000007E-4</v>
      </c>
      <c r="I62" s="111"/>
      <c r="J62" s="111"/>
      <c r="K62" s="111"/>
      <c r="L62" s="111"/>
      <c r="M62" s="111"/>
      <c r="N62" s="111"/>
    </row>
    <row r="63" spans="1:20">
      <c r="G63" s="112"/>
      <c r="H63" s="366"/>
      <c r="I63" s="214"/>
      <c r="J63" s="214"/>
      <c r="K63" s="214"/>
      <c r="L63" s="214"/>
      <c r="M63" s="214"/>
      <c r="N63" s="214"/>
      <c r="O63" s="111"/>
    </row>
    <row r="64" spans="1:20">
      <c r="G64" s="112"/>
      <c r="H64" s="366"/>
      <c r="I64" s="214"/>
      <c r="J64" s="214"/>
      <c r="K64" s="214"/>
      <c r="L64" s="214"/>
      <c r="M64" s="214"/>
      <c r="N64" s="214"/>
      <c r="O64" s="111"/>
    </row>
    <row r="65" spans="1:15">
      <c r="G65" s="112"/>
      <c r="H65" s="366"/>
      <c r="I65" s="214"/>
      <c r="J65" s="214"/>
      <c r="K65" s="214"/>
      <c r="L65" s="214"/>
      <c r="M65" s="214"/>
      <c r="N65" s="214"/>
      <c r="O65" s="111"/>
    </row>
    <row r="66" spans="1:15">
      <c r="G66" s="112"/>
      <c r="H66" s="366"/>
      <c r="I66" s="214"/>
      <c r="J66" s="214"/>
      <c r="K66" s="214"/>
      <c r="L66" s="214"/>
      <c r="M66" s="214"/>
      <c r="N66" s="214"/>
      <c r="O66" s="111"/>
    </row>
    <row r="67" spans="1:15">
      <c r="G67" s="112"/>
      <c r="H67" s="366"/>
      <c r="I67" s="214"/>
      <c r="J67" s="214"/>
      <c r="K67" s="214"/>
      <c r="L67" s="214"/>
      <c r="M67" s="214"/>
      <c r="N67" s="214"/>
      <c r="O67" s="111"/>
    </row>
    <row r="68" spans="1:15">
      <c r="G68" s="112"/>
      <c r="H68" s="366"/>
      <c r="I68" s="214"/>
      <c r="J68" s="214"/>
      <c r="K68" s="214"/>
      <c r="L68" s="214"/>
      <c r="M68" s="214"/>
      <c r="N68" s="214"/>
      <c r="O68" s="111"/>
    </row>
    <row r="69" spans="1:15">
      <c r="G69" s="112"/>
      <c r="H69" s="187"/>
      <c r="I69" s="214"/>
      <c r="J69" s="214"/>
      <c r="K69" s="214"/>
      <c r="L69" s="214"/>
      <c r="M69" s="214"/>
      <c r="N69" s="214"/>
      <c r="O69" s="111"/>
    </row>
    <row r="70" spans="1:15">
      <c r="A70" s="96"/>
      <c r="B70" s="201"/>
      <c r="G70" s="112"/>
      <c r="H70" s="187"/>
      <c r="I70" s="214"/>
      <c r="J70" s="214"/>
      <c r="K70" s="214"/>
      <c r="L70" s="214"/>
      <c r="M70" s="214"/>
      <c r="N70" s="214"/>
      <c r="O70" s="111"/>
    </row>
    <row r="71" spans="1:15">
      <c r="A71" s="96"/>
      <c r="B71" s="201"/>
      <c r="G71" s="112"/>
      <c r="H71" s="187"/>
      <c r="I71" s="214"/>
      <c r="J71" s="214"/>
      <c r="K71" s="214"/>
      <c r="L71" s="214"/>
      <c r="M71" s="214"/>
      <c r="N71" s="214"/>
      <c r="O71" s="111"/>
    </row>
    <row r="72" spans="1:15">
      <c r="A72" s="96"/>
      <c r="B72" s="201"/>
      <c r="G72" s="112"/>
      <c r="H72" s="187"/>
      <c r="I72" s="214"/>
      <c r="J72" s="214"/>
      <c r="K72" s="214"/>
      <c r="L72" s="214"/>
      <c r="M72" s="214"/>
      <c r="N72" s="214"/>
      <c r="O72" s="111"/>
    </row>
    <row r="73" spans="1:15">
      <c r="A73" s="96"/>
      <c r="B73" s="201"/>
      <c r="G73" s="112"/>
      <c r="H73" s="187"/>
      <c r="I73" s="214"/>
      <c r="J73" s="214"/>
      <c r="K73" s="214"/>
      <c r="L73" s="214"/>
      <c r="M73" s="214"/>
      <c r="N73" s="214"/>
      <c r="O73" s="111"/>
    </row>
    <row r="74" spans="1:15">
      <c r="A74" s="96"/>
      <c r="B74" s="201"/>
      <c r="G74" s="112"/>
      <c r="H74" s="187"/>
      <c r="I74" s="214"/>
      <c r="J74" s="214"/>
      <c r="K74" s="214"/>
      <c r="L74" s="214"/>
      <c r="M74" s="214"/>
      <c r="N74" s="214"/>
      <c r="O74" s="111"/>
    </row>
    <row r="75" spans="1:15">
      <c r="A75" s="96"/>
      <c r="B75" s="201"/>
      <c r="G75" s="112"/>
      <c r="H75" s="187"/>
      <c r="I75" s="214"/>
      <c r="J75" s="214"/>
      <c r="K75" s="214"/>
      <c r="L75" s="214"/>
      <c r="M75" s="214"/>
      <c r="N75" s="214"/>
      <c r="O75" s="111"/>
    </row>
    <row r="76" spans="1:15">
      <c r="A76" s="96"/>
      <c r="B76" s="201"/>
      <c r="G76" s="112"/>
      <c r="H76" s="187"/>
      <c r="I76" s="214"/>
      <c r="J76" s="214"/>
      <c r="K76" s="214"/>
      <c r="L76" s="214"/>
      <c r="M76" s="214"/>
      <c r="N76" s="214"/>
      <c r="O76" s="111"/>
    </row>
    <row r="77" spans="1:15">
      <c r="A77" s="96"/>
      <c r="B77" s="201"/>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row>
    <row r="91" spans="1:19">
      <c r="A91" s="96"/>
      <c r="B91" s="201"/>
    </row>
    <row r="92" spans="1:19">
      <c r="A92" s="96"/>
      <c r="B92" s="201"/>
    </row>
    <row r="93" spans="1:19">
      <c r="A93" s="96"/>
      <c r="B93" s="201"/>
      <c r="G93" s="215" t="s">
        <v>246</v>
      </c>
    </row>
    <row r="94" spans="1:19">
      <c r="A94" s="96"/>
      <c r="B94" s="201"/>
      <c r="G94" s="203"/>
      <c r="H94" s="141" t="s">
        <v>247</v>
      </c>
    </row>
    <row r="95" spans="1:19">
      <c r="A95" s="96"/>
      <c r="B95" s="201"/>
      <c r="G95" s="141" t="s">
        <v>245</v>
      </c>
      <c r="H95" s="79">
        <f t="shared" ref="H95:S95" si="17">H47/ABS(H32+0.000001)</f>
        <v>9.9999998000000053E-5</v>
      </c>
      <c r="I95" s="79">
        <f t="shared" si="17"/>
        <v>9.9999998000000053E-5</v>
      </c>
      <c r="J95" s="79">
        <f t="shared" si="17"/>
        <v>1.0000000200000004E-4</v>
      </c>
      <c r="K95" s="79">
        <f t="shared" si="17"/>
        <v>1.0000000200000004E-4</v>
      </c>
      <c r="L95" s="79">
        <f t="shared" si="17"/>
        <v>0</v>
      </c>
      <c r="M95" s="79">
        <f t="shared" si="17"/>
        <v>0</v>
      </c>
      <c r="N95" s="79">
        <f t="shared" si="17"/>
        <v>0</v>
      </c>
      <c r="O95" s="79">
        <f t="shared" si="17"/>
        <v>0</v>
      </c>
      <c r="P95" s="79">
        <f t="shared" si="17"/>
        <v>0</v>
      </c>
      <c r="Q95" s="79">
        <f t="shared" si="17"/>
        <v>0</v>
      </c>
      <c r="R95" s="79">
        <f t="shared" si="17"/>
        <v>0</v>
      </c>
      <c r="S95" s="79">
        <f t="shared" si="17"/>
        <v>0</v>
      </c>
    </row>
    <row r="96" spans="1:19">
      <c r="A96" s="96"/>
      <c r="B96" s="201"/>
      <c r="G96" s="141" t="s">
        <v>245</v>
      </c>
      <c r="H96" s="79">
        <f t="shared" ref="H96:S96" si="18">H48/ABS(H31+0.000001)</f>
        <v>9.9999998000000053E-5</v>
      </c>
      <c r="I96" s="79">
        <f t="shared" si="18"/>
        <v>1.0000000200000004E-4</v>
      </c>
      <c r="J96" s="79">
        <f t="shared" si="18"/>
        <v>1.0000000200000004E-4</v>
      </c>
      <c r="K96" s="79">
        <f t="shared" si="18"/>
        <v>9.9999998000000053E-5</v>
      </c>
      <c r="L96" s="79">
        <f t="shared" si="18"/>
        <v>0</v>
      </c>
      <c r="M96" s="79">
        <f t="shared" si="18"/>
        <v>0</v>
      </c>
      <c r="N96" s="79">
        <f t="shared" si="18"/>
        <v>0</v>
      </c>
      <c r="O96" s="79">
        <f t="shared" si="18"/>
        <v>0</v>
      </c>
      <c r="P96" s="79">
        <f t="shared" si="18"/>
        <v>0</v>
      </c>
      <c r="Q96" s="79">
        <f t="shared" si="18"/>
        <v>0</v>
      </c>
      <c r="R96" s="79">
        <f t="shared" si="18"/>
        <v>0</v>
      </c>
      <c r="S96" s="79">
        <f t="shared" si="18"/>
        <v>0</v>
      </c>
    </row>
    <row r="97" spans="1:19">
      <c r="A97" s="96"/>
      <c r="B97" s="201"/>
      <c r="G97" s="79" t="s">
        <v>243</v>
      </c>
      <c r="H97" s="216">
        <f>IF(MIN(H95,H96)&gt;1,0,MIN(H95,H96))</f>
        <v>9.9999998000000053E-5</v>
      </c>
      <c r="I97" s="216">
        <f t="shared" ref="I97:S97" si="19">IF(MIN(I95,I96)&gt;1,0,MIN(I95,I96))</f>
        <v>9.9999998000000053E-5</v>
      </c>
      <c r="J97" s="216">
        <f t="shared" si="19"/>
        <v>1.0000000200000004E-4</v>
      </c>
      <c r="K97" s="216">
        <f t="shared" si="19"/>
        <v>9.9999998000000053E-5</v>
      </c>
      <c r="L97" s="216">
        <f t="shared" si="19"/>
        <v>0</v>
      </c>
      <c r="M97" s="216">
        <f t="shared" si="19"/>
        <v>0</v>
      </c>
      <c r="N97" s="216">
        <f t="shared" si="19"/>
        <v>0</v>
      </c>
      <c r="O97" s="216">
        <f t="shared" si="19"/>
        <v>0</v>
      </c>
      <c r="P97" s="216">
        <f t="shared" si="19"/>
        <v>0</v>
      </c>
      <c r="Q97" s="216">
        <f t="shared" si="19"/>
        <v>0</v>
      </c>
      <c r="R97" s="216">
        <f t="shared" si="19"/>
        <v>0</v>
      </c>
      <c r="S97" s="216">
        <f t="shared" si="19"/>
        <v>0</v>
      </c>
    </row>
    <row r="98" spans="1:19">
      <c r="A98" s="96"/>
      <c r="B98" s="201"/>
      <c r="H98" s="141" t="s">
        <v>248</v>
      </c>
      <c r="I98" s="141"/>
      <c r="J98" s="141"/>
      <c r="K98" s="141"/>
      <c r="L98" s="141"/>
      <c r="M98" s="141"/>
      <c r="N98" s="141"/>
      <c r="O98" s="141"/>
      <c r="P98" s="141"/>
      <c r="Q98" s="141"/>
      <c r="R98" s="141"/>
      <c r="S98" s="141"/>
    </row>
    <row r="99" spans="1:19">
      <c r="A99" s="96"/>
      <c r="B99" s="201"/>
      <c r="G99" s="108" t="s">
        <v>245</v>
      </c>
      <c r="H99" s="146">
        <f t="shared" ref="H99:S99" si="20">H48/ABS(H30+0.000001)</f>
        <v>5000</v>
      </c>
      <c r="I99" s="146">
        <f t="shared" si="20"/>
        <v>5000</v>
      </c>
      <c r="J99" s="146">
        <f t="shared" si="20"/>
        <v>5000</v>
      </c>
      <c r="K99" s="146">
        <f t="shared" si="20"/>
        <v>5000</v>
      </c>
      <c r="L99" s="146">
        <f t="shared" si="20"/>
        <v>0</v>
      </c>
      <c r="M99" s="146">
        <f t="shared" si="20"/>
        <v>0</v>
      </c>
      <c r="N99" s="146">
        <f t="shared" si="20"/>
        <v>0</v>
      </c>
      <c r="O99" s="146">
        <f t="shared" si="20"/>
        <v>0</v>
      </c>
      <c r="P99" s="146">
        <f t="shared" si="20"/>
        <v>0</v>
      </c>
      <c r="Q99" s="146">
        <f t="shared" si="20"/>
        <v>0</v>
      </c>
      <c r="R99" s="146">
        <f t="shared" si="20"/>
        <v>0</v>
      </c>
      <c r="S99" s="146">
        <f t="shared" si="20"/>
        <v>0</v>
      </c>
    </row>
    <row r="100" spans="1:19">
      <c r="G100" s="108" t="s">
        <v>245</v>
      </c>
      <c r="H100" s="217">
        <f t="shared" ref="H100:S100" si="21">H46/ABS(H32+0.000001)</f>
        <v>9.9999998000000053E-5</v>
      </c>
      <c r="I100" s="217">
        <f t="shared" si="21"/>
        <v>9.9999998000000053E-5</v>
      </c>
      <c r="J100" s="217">
        <f t="shared" si="21"/>
        <v>1.0000000200000004E-4</v>
      </c>
      <c r="K100" s="217">
        <f t="shared" si="21"/>
        <v>1.0000000200000004E-4</v>
      </c>
      <c r="L100" s="217">
        <f t="shared" si="21"/>
        <v>0</v>
      </c>
      <c r="M100" s="217">
        <f t="shared" si="21"/>
        <v>0</v>
      </c>
      <c r="N100" s="217">
        <f t="shared" si="21"/>
        <v>0</v>
      </c>
      <c r="O100" s="217">
        <f t="shared" si="21"/>
        <v>0</v>
      </c>
      <c r="P100" s="217">
        <f t="shared" si="21"/>
        <v>0</v>
      </c>
      <c r="Q100" s="217">
        <f t="shared" si="21"/>
        <v>0</v>
      </c>
      <c r="R100" s="217">
        <f t="shared" si="21"/>
        <v>0</v>
      </c>
      <c r="S100" s="217">
        <f t="shared" si="21"/>
        <v>0</v>
      </c>
    </row>
    <row r="101" spans="1:19">
      <c r="G101" s="79" t="s">
        <v>243</v>
      </c>
      <c r="H101" s="216">
        <f>IF(MIN(H99,H100)&gt;1,0,MIN(H99,H100))</f>
        <v>9.9999998000000053E-5</v>
      </c>
      <c r="I101" s="216">
        <f t="shared" ref="I101:S101" si="22">IF(MIN(I99,I100)&gt;1,0,MIN(I99,I100))</f>
        <v>9.9999998000000053E-5</v>
      </c>
      <c r="J101" s="216">
        <f t="shared" si="22"/>
        <v>1.0000000200000004E-4</v>
      </c>
      <c r="K101" s="216">
        <f t="shared" si="22"/>
        <v>1.0000000200000004E-4</v>
      </c>
      <c r="L101" s="216">
        <f t="shared" si="22"/>
        <v>0</v>
      </c>
      <c r="M101" s="216">
        <f t="shared" si="22"/>
        <v>0</v>
      </c>
      <c r="N101" s="216">
        <f t="shared" si="22"/>
        <v>0</v>
      </c>
      <c r="O101" s="216">
        <f t="shared" si="22"/>
        <v>0</v>
      </c>
      <c r="P101" s="216">
        <f t="shared" si="22"/>
        <v>0</v>
      </c>
      <c r="Q101" s="216">
        <f t="shared" si="22"/>
        <v>0</v>
      </c>
      <c r="R101" s="216">
        <f t="shared" si="22"/>
        <v>0</v>
      </c>
      <c r="S101" s="216">
        <f t="shared" si="22"/>
        <v>0</v>
      </c>
    </row>
    <row r="102" spans="1:19">
      <c r="H102" s="79" t="s">
        <v>249</v>
      </c>
    </row>
    <row r="103" spans="1:19">
      <c r="G103" s="141" t="s">
        <v>245</v>
      </c>
      <c r="H103" s="79">
        <f t="shared" ref="H103:S103" si="23">H47/ABS(H30+0.000001)</f>
        <v>5000</v>
      </c>
      <c r="I103" s="79">
        <f t="shared" si="23"/>
        <v>5000</v>
      </c>
      <c r="J103" s="79">
        <f t="shared" si="23"/>
        <v>5000</v>
      </c>
      <c r="K103" s="79">
        <f t="shared" si="23"/>
        <v>5000</v>
      </c>
      <c r="L103" s="79">
        <f t="shared" si="23"/>
        <v>0</v>
      </c>
      <c r="M103" s="79">
        <f t="shared" si="23"/>
        <v>0</v>
      </c>
      <c r="N103" s="79">
        <f t="shared" si="23"/>
        <v>0</v>
      </c>
      <c r="O103" s="79">
        <f t="shared" si="23"/>
        <v>0</v>
      </c>
      <c r="P103" s="79">
        <f t="shared" si="23"/>
        <v>0</v>
      </c>
      <c r="Q103" s="79">
        <f t="shared" si="23"/>
        <v>0</v>
      </c>
      <c r="R103" s="79">
        <f t="shared" si="23"/>
        <v>0</v>
      </c>
      <c r="S103" s="79">
        <f t="shared" si="23"/>
        <v>0</v>
      </c>
    </row>
    <row r="104" spans="1:19">
      <c r="G104" s="141" t="s">
        <v>245</v>
      </c>
      <c r="H104" s="79">
        <f t="shared" ref="H104:S104" si="24">H46/ABS(H31+0.000001)</f>
        <v>9.9999998000000053E-5</v>
      </c>
      <c r="I104" s="79">
        <f t="shared" si="24"/>
        <v>1.0000000200000004E-4</v>
      </c>
      <c r="J104" s="79">
        <f t="shared" si="24"/>
        <v>1.0000000200000004E-4</v>
      </c>
      <c r="K104" s="79">
        <f t="shared" si="24"/>
        <v>9.9999998000000053E-5</v>
      </c>
      <c r="L104" s="79">
        <f t="shared" si="24"/>
        <v>0</v>
      </c>
      <c r="M104" s="79">
        <f t="shared" si="24"/>
        <v>0</v>
      </c>
      <c r="N104" s="79">
        <f t="shared" si="24"/>
        <v>0</v>
      </c>
      <c r="O104" s="79">
        <f t="shared" si="24"/>
        <v>0</v>
      </c>
      <c r="P104" s="79">
        <f t="shared" si="24"/>
        <v>0</v>
      </c>
      <c r="Q104" s="79">
        <f t="shared" si="24"/>
        <v>0</v>
      </c>
      <c r="R104" s="79">
        <f t="shared" si="24"/>
        <v>0</v>
      </c>
      <c r="S104" s="79">
        <f t="shared" si="24"/>
        <v>0</v>
      </c>
    </row>
    <row r="105" spans="1:19">
      <c r="G105" s="79" t="s">
        <v>243</v>
      </c>
      <c r="H105" s="216">
        <f>IF(MIN(H103,H104)&gt;1,0,MIN(H103,H104))</f>
        <v>9.9999998000000053E-5</v>
      </c>
      <c r="I105" s="216">
        <f t="shared" ref="I105:S105" si="25">IF(MIN(I103,I104)&gt;1,0,MIN(I103,I104))</f>
        <v>1.0000000200000004E-4</v>
      </c>
      <c r="J105" s="216">
        <f t="shared" si="25"/>
        <v>1.0000000200000004E-4</v>
      </c>
      <c r="K105" s="216">
        <f t="shared" si="25"/>
        <v>9.9999998000000053E-5</v>
      </c>
      <c r="L105" s="216">
        <f t="shared" si="25"/>
        <v>0</v>
      </c>
      <c r="M105" s="216">
        <f t="shared" si="25"/>
        <v>0</v>
      </c>
      <c r="N105" s="216">
        <f t="shared" si="25"/>
        <v>0</v>
      </c>
      <c r="O105" s="216">
        <f t="shared" si="25"/>
        <v>0</v>
      </c>
      <c r="P105" s="216">
        <f t="shared" si="25"/>
        <v>0</v>
      </c>
      <c r="Q105" s="216">
        <f t="shared" si="25"/>
        <v>0</v>
      </c>
      <c r="R105" s="216">
        <f t="shared" si="25"/>
        <v>0</v>
      </c>
      <c r="S105" s="216">
        <f t="shared" si="25"/>
        <v>0</v>
      </c>
    </row>
    <row r="107" spans="1:19">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6">H55/(H32+0.000001)</f>
        <v>0</v>
      </c>
      <c r="I109" s="216">
        <f t="shared" si="26"/>
        <v>0</v>
      </c>
      <c r="J109" s="216">
        <f t="shared" si="26"/>
        <v>0</v>
      </c>
      <c r="K109" s="216">
        <f t="shared" si="26"/>
        <v>0</v>
      </c>
      <c r="L109" s="216">
        <f t="shared" si="26"/>
        <v>0</v>
      </c>
      <c r="M109" s="216">
        <f t="shared" si="26"/>
        <v>0</v>
      </c>
      <c r="N109" s="216">
        <f t="shared" si="26"/>
        <v>0</v>
      </c>
      <c r="O109" s="216">
        <f t="shared" si="26"/>
        <v>0</v>
      </c>
      <c r="P109" s="216">
        <f t="shared" si="26"/>
        <v>0</v>
      </c>
      <c r="Q109" s="216">
        <f t="shared" si="26"/>
        <v>0</v>
      </c>
      <c r="R109" s="216">
        <f t="shared" si="26"/>
        <v>0</v>
      </c>
      <c r="S109" s="216">
        <f t="shared" si="26"/>
        <v>0</v>
      </c>
    </row>
    <row r="110" spans="1:19">
      <c r="G110" s="141" t="s">
        <v>245</v>
      </c>
      <c r="H110" s="218">
        <f t="shared" ref="H110:S110" si="27">H56/(H31+0.000001)</f>
        <v>0</v>
      </c>
      <c r="I110" s="218">
        <f t="shared" si="27"/>
        <v>0</v>
      </c>
      <c r="J110" s="218">
        <f t="shared" si="27"/>
        <v>0</v>
      </c>
      <c r="K110" s="218">
        <f t="shared" si="27"/>
        <v>0</v>
      </c>
      <c r="L110" s="218">
        <f t="shared" si="27"/>
        <v>0</v>
      </c>
      <c r="M110" s="218">
        <f t="shared" si="27"/>
        <v>0</v>
      </c>
      <c r="N110" s="218">
        <f t="shared" si="27"/>
        <v>0</v>
      </c>
      <c r="O110" s="218">
        <f t="shared" si="27"/>
        <v>0</v>
      </c>
      <c r="P110" s="218">
        <f t="shared" si="27"/>
        <v>0</v>
      </c>
      <c r="Q110" s="218">
        <f t="shared" si="27"/>
        <v>0</v>
      </c>
      <c r="R110" s="218">
        <f t="shared" si="27"/>
        <v>0</v>
      </c>
      <c r="S110" s="218">
        <f t="shared" si="27"/>
        <v>0</v>
      </c>
    </row>
    <row r="111" spans="1:19">
      <c r="G111" s="79" t="s">
        <v>244</v>
      </c>
      <c r="H111" s="136">
        <f>SIGN(H109+0.000000000001)*SIGN(H110+0.000000000001)</f>
        <v>1</v>
      </c>
      <c r="I111" s="136">
        <f t="shared" ref="I111:S111" si="28">SIGN(I109+0.000000000001)*SIGN(I110+0.000000000001)</f>
        <v>1</v>
      </c>
      <c r="J111" s="136">
        <f t="shared" si="28"/>
        <v>1</v>
      </c>
      <c r="K111" s="136">
        <f t="shared" si="28"/>
        <v>1</v>
      </c>
      <c r="L111" s="136">
        <f t="shared" si="28"/>
        <v>1</v>
      </c>
      <c r="M111" s="136">
        <f t="shared" si="28"/>
        <v>1</v>
      </c>
      <c r="N111" s="136">
        <f t="shared" si="28"/>
        <v>1</v>
      </c>
      <c r="O111" s="136">
        <f t="shared" si="28"/>
        <v>1</v>
      </c>
      <c r="P111" s="136">
        <f t="shared" si="28"/>
        <v>1</v>
      </c>
      <c r="Q111" s="136">
        <f t="shared" si="28"/>
        <v>1</v>
      </c>
      <c r="R111" s="136">
        <f t="shared" si="28"/>
        <v>1</v>
      </c>
      <c r="S111" s="136">
        <f t="shared" si="28"/>
        <v>1</v>
      </c>
    </row>
    <row r="112" spans="1:19">
      <c r="G112" s="79" t="s">
        <v>243</v>
      </c>
      <c r="H112" s="216">
        <f>IF(H111*MIN(ABS(H109),ABS(H110))&gt;1,0,H111*MIN(ABS(H109),ABS(H110)))</f>
        <v>0</v>
      </c>
      <c r="I112" s="216">
        <f t="shared" ref="I112:S112" si="29">IF(I111*MIN(ABS(I109),ABS(I110))&gt;1,0,I111*MIN(ABS(I109),ABS(I110)))</f>
        <v>0</v>
      </c>
      <c r="J112" s="216">
        <f t="shared" si="29"/>
        <v>0</v>
      </c>
      <c r="K112" s="216">
        <f t="shared" si="29"/>
        <v>0</v>
      </c>
      <c r="L112" s="216">
        <f t="shared" si="29"/>
        <v>0</v>
      </c>
      <c r="M112" s="216">
        <f t="shared" si="29"/>
        <v>0</v>
      </c>
      <c r="N112" s="216">
        <f t="shared" si="29"/>
        <v>0</v>
      </c>
      <c r="O112" s="216">
        <f t="shared" si="29"/>
        <v>0</v>
      </c>
      <c r="P112" s="216">
        <f t="shared" si="29"/>
        <v>0</v>
      </c>
      <c r="Q112" s="216">
        <f t="shared" si="29"/>
        <v>0</v>
      </c>
      <c r="R112" s="216">
        <f t="shared" si="29"/>
        <v>0</v>
      </c>
      <c r="S112" s="216">
        <f t="shared" si="29"/>
        <v>0</v>
      </c>
    </row>
    <row r="113" spans="7:19">
      <c r="H113" s="96" t="s">
        <v>241</v>
      </c>
      <c r="I113" s="96"/>
      <c r="J113" s="96"/>
      <c r="K113" s="96"/>
      <c r="L113" s="96"/>
      <c r="M113" s="96"/>
      <c r="N113" s="96"/>
      <c r="O113" s="96"/>
      <c r="P113" s="96"/>
      <c r="Q113" s="96"/>
      <c r="R113" s="96"/>
      <c r="S113" s="96"/>
    </row>
    <row r="114" spans="7:19">
      <c r="G114" s="108" t="s">
        <v>245</v>
      </c>
      <c r="H114" s="146">
        <f t="shared" ref="H114:S114" si="30">-H56/(H30+0.000001)</f>
        <v>0</v>
      </c>
      <c r="I114" s="146">
        <f t="shared" si="30"/>
        <v>0</v>
      </c>
      <c r="J114" s="146">
        <f t="shared" si="30"/>
        <v>0</v>
      </c>
      <c r="K114" s="146">
        <f t="shared" si="30"/>
        <v>0</v>
      </c>
      <c r="L114" s="146">
        <f t="shared" si="30"/>
        <v>0</v>
      </c>
      <c r="M114" s="146">
        <f t="shared" si="30"/>
        <v>0</v>
      </c>
      <c r="N114" s="146">
        <f t="shared" si="30"/>
        <v>0</v>
      </c>
      <c r="O114" s="146">
        <f t="shared" si="30"/>
        <v>0</v>
      </c>
      <c r="P114" s="146">
        <f t="shared" si="30"/>
        <v>0</v>
      </c>
      <c r="Q114" s="146">
        <f t="shared" si="30"/>
        <v>0</v>
      </c>
      <c r="R114" s="146">
        <f t="shared" si="30"/>
        <v>0</v>
      </c>
      <c r="S114" s="146">
        <f t="shared" si="30"/>
        <v>0</v>
      </c>
    </row>
    <row r="115" spans="7:19">
      <c r="G115" s="108" t="s">
        <v>245</v>
      </c>
      <c r="H115" s="146">
        <f t="shared" ref="H115:S115" si="31">H54/(H32+0.000001)</f>
        <v>0</v>
      </c>
      <c r="I115" s="146">
        <f t="shared" si="31"/>
        <v>0</v>
      </c>
      <c r="J115" s="146">
        <f t="shared" si="31"/>
        <v>0</v>
      </c>
      <c r="K115" s="146">
        <f t="shared" si="31"/>
        <v>0</v>
      </c>
      <c r="L115" s="146">
        <f t="shared" si="31"/>
        <v>0</v>
      </c>
      <c r="M115" s="146">
        <f t="shared" si="31"/>
        <v>0</v>
      </c>
      <c r="N115" s="146">
        <f t="shared" si="31"/>
        <v>0</v>
      </c>
      <c r="O115" s="146">
        <f t="shared" si="31"/>
        <v>0</v>
      </c>
      <c r="P115" s="146">
        <f t="shared" si="31"/>
        <v>0</v>
      </c>
      <c r="Q115" s="146">
        <f t="shared" si="31"/>
        <v>0</v>
      </c>
      <c r="R115" s="146">
        <f t="shared" si="31"/>
        <v>0</v>
      </c>
      <c r="S115" s="146">
        <f t="shared" si="31"/>
        <v>0</v>
      </c>
    </row>
    <row r="116" spans="7:19">
      <c r="G116" s="146" t="s">
        <v>244</v>
      </c>
      <c r="H116" s="219">
        <f>SIGN(H114+0.000000000001)*SIGN(H115+0.000000000001)</f>
        <v>1</v>
      </c>
      <c r="I116" s="219">
        <f t="shared" ref="I116:S116" si="32">SIGN(I114+0.000000000001)*SIGN(I115+0.000000000001)</f>
        <v>1</v>
      </c>
      <c r="J116" s="219">
        <f t="shared" si="32"/>
        <v>1</v>
      </c>
      <c r="K116" s="219">
        <f t="shared" si="32"/>
        <v>1</v>
      </c>
      <c r="L116" s="219">
        <f t="shared" si="32"/>
        <v>1</v>
      </c>
      <c r="M116" s="219">
        <f t="shared" si="32"/>
        <v>1</v>
      </c>
      <c r="N116" s="219">
        <f t="shared" si="32"/>
        <v>1</v>
      </c>
      <c r="O116" s="219">
        <f t="shared" si="32"/>
        <v>1</v>
      </c>
      <c r="P116" s="219">
        <f t="shared" si="32"/>
        <v>1</v>
      </c>
      <c r="Q116" s="219">
        <f t="shared" si="32"/>
        <v>1</v>
      </c>
      <c r="R116" s="219">
        <f t="shared" si="32"/>
        <v>1</v>
      </c>
      <c r="S116" s="219">
        <f t="shared" si="32"/>
        <v>1</v>
      </c>
    </row>
    <row r="117" spans="7:19">
      <c r="G117" s="146" t="s">
        <v>243</v>
      </c>
      <c r="H117" s="220">
        <f>IF(H116*MIN(ABS(H114),ABS(H115))&gt;1,0,H116*MIN(ABS(H114),ABS(H115)))</f>
        <v>0</v>
      </c>
      <c r="I117" s="220">
        <f t="shared" ref="I117:S117" si="33">IF(I116*MIN(ABS(I114),ABS(I115))&gt;1,0,I116*MIN(ABS(I114),ABS(I115)))</f>
        <v>0</v>
      </c>
      <c r="J117" s="220">
        <f t="shared" si="33"/>
        <v>0</v>
      </c>
      <c r="K117" s="220">
        <f t="shared" si="33"/>
        <v>0</v>
      </c>
      <c r="L117" s="220">
        <f t="shared" si="33"/>
        <v>0</v>
      </c>
      <c r="M117" s="220">
        <f t="shared" si="33"/>
        <v>0</v>
      </c>
      <c r="N117" s="220">
        <f t="shared" si="33"/>
        <v>0</v>
      </c>
      <c r="O117" s="220">
        <f t="shared" si="33"/>
        <v>0</v>
      </c>
      <c r="P117" s="220">
        <f t="shared" si="33"/>
        <v>0</v>
      </c>
      <c r="Q117" s="220">
        <f t="shared" si="33"/>
        <v>0</v>
      </c>
      <c r="R117" s="220">
        <f t="shared" si="33"/>
        <v>0</v>
      </c>
      <c r="S117" s="220">
        <f t="shared" si="33"/>
        <v>0</v>
      </c>
    </row>
    <row r="118" spans="7:19">
      <c r="H118" s="96" t="s">
        <v>242</v>
      </c>
      <c r="I118" s="96"/>
      <c r="J118" s="96"/>
      <c r="K118" s="96"/>
      <c r="L118" s="96"/>
      <c r="M118" s="96"/>
      <c r="N118" s="96"/>
      <c r="O118" s="96"/>
      <c r="P118" s="96"/>
      <c r="Q118" s="96"/>
      <c r="R118" s="96"/>
      <c r="S118" s="96"/>
    </row>
    <row r="119" spans="7:19">
      <c r="G119" s="141" t="s">
        <v>245</v>
      </c>
      <c r="H119" s="216">
        <f t="shared" ref="H119:S119" si="34">H55/(H30+0.000001)</f>
        <v>0</v>
      </c>
      <c r="I119" s="216">
        <f t="shared" si="34"/>
        <v>0</v>
      </c>
      <c r="J119" s="216">
        <f t="shared" si="34"/>
        <v>0</v>
      </c>
      <c r="K119" s="216">
        <f t="shared" si="34"/>
        <v>0</v>
      </c>
      <c r="L119" s="216">
        <f t="shared" si="34"/>
        <v>0</v>
      </c>
      <c r="M119" s="216">
        <f t="shared" si="34"/>
        <v>0</v>
      </c>
      <c r="N119" s="216">
        <f t="shared" si="34"/>
        <v>0</v>
      </c>
      <c r="O119" s="216">
        <f t="shared" si="34"/>
        <v>0</v>
      </c>
      <c r="P119" s="216">
        <f t="shared" si="34"/>
        <v>0</v>
      </c>
      <c r="Q119" s="216">
        <f t="shared" si="34"/>
        <v>0</v>
      </c>
      <c r="R119" s="216">
        <f t="shared" si="34"/>
        <v>0</v>
      </c>
      <c r="S119" s="216">
        <f t="shared" si="34"/>
        <v>0</v>
      </c>
    </row>
    <row r="120" spans="7:19">
      <c r="G120" s="141" t="s">
        <v>245</v>
      </c>
      <c r="H120" s="79">
        <f t="shared" ref="H120:S120" si="35">H54/(H31+0.000001)</f>
        <v>0</v>
      </c>
      <c r="I120" s="79">
        <f t="shared" si="35"/>
        <v>0</v>
      </c>
      <c r="J120" s="79">
        <f t="shared" si="35"/>
        <v>0</v>
      </c>
      <c r="K120" s="79">
        <f t="shared" si="35"/>
        <v>0</v>
      </c>
      <c r="L120" s="79">
        <f t="shared" si="35"/>
        <v>0</v>
      </c>
      <c r="M120" s="79">
        <f t="shared" si="35"/>
        <v>0</v>
      </c>
      <c r="N120" s="79">
        <f t="shared" si="35"/>
        <v>0</v>
      </c>
      <c r="O120" s="79">
        <f t="shared" si="35"/>
        <v>0</v>
      </c>
      <c r="P120" s="79">
        <f t="shared" si="35"/>
        <v>0</v>
      </c>
      <c r="Q120" s="79">
        <f t="shared" si="35"/>
        <v>0</v>
      </c>
      <c r="R120" s="79">
        <f t="shared" si="35"/>
        <v>0</v>
      </c>
      <c r="S120" s="79">
        <f t="shared" si="35"/>
        <v>0</v>
      </c>
    </row>
    <row r="121" spans="7:19">
      <c r="G121" s="79" t="s">
        <v>244</v>
      </c>
      <c r="H121" s="136">
        <f>SIGN(H119+0.000000000001)*SIGN(H120+0.000000000001)</f>
        <v>1</v>
      </c>
      <c r="I121" s="136">
        <f t="shared" ref="I121:S121" si="36">SIGN(I119+0.000000000001)*SIGN(I120+0.000000000001)</f>
        <v>1</v>
      </c>
      <c r="J121" s="136">
        <f t="shared" si="36"/>
        <v>1</v>
      </c>
      <c r="K121" s="136">
        <f t="shared" si="36"/>
        <v>1</v>
      </c>
      <c r="L121" s="136">
        <f t="shared" si="36"/>
        <v>1</v>
      </c>
      <c r="M121" s="136">
        <f t="shared" si="36"/>
        <v>1</v>
      </c>
      <c r="N121" s="136">
        <f t="shared" si="36"/>
        <v>1</v>
      </c>
      <c r="O121" s="136">
        <f t="shared" si="36"/>
        <v>1</v>
      </c>
      <c r="P121" s="136">
        <f t="shared" si="36"/>
        <v>1</v>
      </c>
      <c r="Q121" s="136">
        <f t="shared" si="36"/>
        <v>1</v>
      </c>
      <c r="R121" s="136">
        <f t="shared" si="36"/>
        <v>1</v>
      </c>
      <c r="S121" s="136">
        <f t="shared" si="36"/>
        <v>1</v>
      </c>
    </row>
    <row r="122" spans="7:19">
      <c r="G122" s="79" t="s">
        <v>243</v>
      </c>
      <c r="H122" s="216">
        <f>IF(H121*MIN(ABS(H119),ABS(H120))&gt;1,0,H121*MIN(ABS(H119),ABS(H120)))</f>
        <v>0</v>
      </c>
      <c r="I122" s="216">
        <f t="shared" ref="I122:S122" si="37">IF(I121*MIN(ABS(I119),ABS(I120))&gt;1,0,I121*MIN(ABS(I119),ABS(I120)))</f>
        <v>0</v>
      </c>
      <c r="J122" s="216">
        <f t="shared" si="37"/>
        <v>0</v>
      </c>
      <c r="K122" s="216">
        <f t="shared" si="37"/>
        <v>0</v>
      </c>
      <c r="L122" s="216">
        <f t="shared" si="37"/>
        <v>0</v>
      </c>
      <c r="M122" s="216">
        <f t="shared" si="37"/>
        <v>0</v>
      </c>
      <c r="N122" s="216">
        <f t="shared" si="37"/>
        <v>0</v>
      </c>
      <c r="O122" s="216">
        <f t="shared" si="37"/>
        <v>0</v>
      </c>
      <c r="P122" s="216">
        <f t="shared" si="37"/>
        <v>0</v>
      </c>
      <c r="Q122" s="216">
        <f t="shared" si="37"/>
        <v>0</v>
      </c>
      <c r="R122" s="216">
        <f t="shared" si="37"/>
        <v>0</v>
      </c>
      <c r="S122" s="216">
        <f t="shared" si="37"/>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25"/>
  <sheetViews>
    <sheetView topLeftCell="A37" zoomScale="75" zoomScaleNormal="75" zoomScalePageLayoutView="75" workbookViewId="0">
      <selection activeCell="H46" sqref="H46:K48"/>
    </sheetView>
  </sheetViews>
  <sheetFormatPr baseColWidth="10" defaultColWidth="11" defaultRowHeight="16"/>
  <cols>
    <col min="1" max="1" width="45.33203125" style="79" customWidth="1"/>
    <col min="2" max="2" width="21.5" style="79" customWidth="1"/>
    <col min="3" max="3" width="40.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Loads'!A144</f>
        <v>CS 5</v>
      </c>
      <c r="B1" s="197" t="str">
        <f>'CSs and Loads'!A154</f>
        <v>cutting point on workpiece</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80" t="s">
        <v>305</v>
      </c>
      <c r="B4" s="170" t="s">
        <v>321</v>
      </c>
      <c r="C4" s="80" t="s">
        <v>355</v>
      </c>
      <c r="D4" s="161"/>
      <c r="E4" s="238" t="s">
        <v>339</v>
      </c>
      <c r="F4" s="202"/>
      <c r="G4" s="202"/>
      <c r="H4" s="202"/>
      <c r="I4" s="202"/>
      <c r="J4" s="202"/>
      <c r="K4" s="202"/>
      <c r="L4" s="202"/>
      <c r="M4" s="239"/>
      <c r="N4" s="175"/>
      <c r="R4" s="201"/>
    </row>
    <row r="5" spans="1:18">
      <c r="A5" s="107" t="s">
        <v>325</v>
      </c>
      <c r="B5" s="111" t="s">
        <v>326</v>
      </c>
      <c r="C5" s="96" t="s">
        <v>353</v>
      </c>
      <c r="D5" s="161">
        <v>25</v>
      </c>
      <c r="E5" s="176" t="s">
        <v>268</v>
      </c>
      <c r="F5" s="366" t="s">
        <v>271</v>
      </c>
      <c r="G5" s="143">
        <f>(B11^2/(3*B7*B17*B12))*(B12^2-2*B11*B12+B11^2)</f>
        <v>9.918934000131239E-7</v>
      </c>
      <c r="H5" s="79">
        <v>0</v>
      </c>
      <c r="I5" s="79">
        <v>0</v>
      </c>
      <c r="J5" s="79">
        <v>0</v>
      </c>
      <c r="K5" s="79">
        <v>0</v>
      </c>
      <c r="L5" s="144">
        <f>-(B11/(3*B7*B17*B12))*(2*B11^2+B12^2-3*B11*B12)</f>
        <v>-9.1559390770442208E-9</v>
      </c>
      <c r="M5" s="177" t="s">
        <v>262</v>
      </c>
      <c r="N5" s="175"/>
      <c r="R5" s="201"/>
    </row>
    <row r="6" spans="1:18">
      <c r="A6" s="107" t="s">
        <v>328</v>
      </c>
      <c r="B6" s="111" t="s">
        <v>272</v>
      </c>
      <c r="C6" s="96" t="s">
        <v>32</v>
      </c>
      <c r="D6" s="161">
        <f>1770*9.8</f>
        <v>17346</v>
      </c>
      <c r="E6" s="176" t="s">
        <v>269</v>
      </c>
      <c r="F6" s="366"/>
      <c r="G6" s="79">
        <v>0</v>
      </c>
      <c r="H6" s="144">
        <f>1/(B7*B16*(1/B11+1/(B12-B11) ))</f>
        <v>1.3906169979351685E-7</v>
      </c>
      <c r="I6" s="79">
        <v>0</v>
      </c>
      <c r="J6" s="79">
        <v>0</v>
      </c>
      <c r="K6" s="145">
        <v>0</v>
      </c>
      <c r="L6" s="79">
        <v>0</v>
      </c>
      <c r="M6" s="177" t="s">
        <v>263</v>
      </c>
      <c r="N6" s="175"/>
      <c r="R6" s="201"/>
    </row>
    <row r="7" spans="1:18">
      <c r="A7" s="96" t="s">
        <v>277</v>
      </c>
      <c r="B7" s="188">
        <v>69000</v>
      </c>
      <c r="C7" s="96" t="s">
        <v>230</v>
      </c>
      <c r="D7" s="161">
        <f>647*1000</f>
        <v>647000</v>
      </c>
      <c r="E7" s="176" t="s">
        <v>270</v>
      </c>
      <c r="F7" s="366"/>
      <c r="G7" s="79">
        <v>0</v>
      </c>
      <c r="H7" s="79">
        <v>0</v>
      </c>
      <c r="I7" s="144">
        <f>(B11^2/(3*B7*B18*B12))*(B12^2-2*B11*B12+B11^2)</f>
        <v>9.918934000131239E-7</v>
      </c>
      <c r="J7" s="143">
        <f>I8</f>
        <v>9.1559390770442208E-9</v>
      </c>
      <c r="K7" s="145">
        <v>0</v>
      </c>
      <c r="L7" s="79">
        <v>0</v>
      </c>
      <c r="M7" s="177" t="s">
        <v>264</v>
      </c>
      <c r="N7" s="175"/>
      <c r="R7" s="201"/>
    </row>
    <row r="8" spans="1:18">
      <c r="A8" s="96" t="s">
        <v>273</v>
      </c>
      <c r="B8" s="188">
        <v>0.33400000000000002</v>
      </c>
      <c r="C8" s="96" t="s">
        <v>33</v>
      </c>
      <c r="D8" s="161">
        <v>3</v>
      </c>
      <c r="E8" s="176" t="s">
        <v>259</v>
      </c>
      <c r="F8" s="366"/>
      <c r="G8" s="79">
        <v>0</v>
      </c>
      <c r="H8" s="79">
        <v>0</v>
      </c>
      <c r="I8" s="143">
        <f>(B11/(3*B7*B18*B12))*(2*B11^2-3*B11*B12+B12^2)</f>
        <v>9.1559390770442208E-9</v>
      </c>
      <c r="J8" s="144">
        <f>(1/(3*B7*B18*B12))*(2*B12^2+3*B11^2-3*B11*B12)</f>
        <v>2.0718246757670576E-10</v>
      </c>
      <c r="K8" s="79">
        <v>0</v>
      </c>
      <c r="L8" s="79">
        <v>0</v>
      </c>
      <c r="M8" s="177" t="s">
        <v>265</v>
      </c>
      <c r="N8" s="175"/>
      <c r="R8" s="201"/>
    </row>
    <row r="9" spans="1:18">
      <c r="A9" s="96" t="s">
        <v>278</v>
      </c>
      <c r="B9" s="92">
        <f>B7/(2*(1+B8))</f>
        <v>25862.068965517239</v>
      </c>
      <c r="C9" s="96" t="s">
        <v>34</v>
      </c>
      <c r="D9" s="161">
        <v>0.01</v>
      </c>
      <c r="E9" s="176" t="s">
        <v>261</v>
      </c>
      <c r="F9" s="366"/>
      <c r="G9" s="79">
        <v>0</v>
      </c>
      <c r="H9" s="79">
        <v>0</v>
      </c>
      <c r="I9" s="79">
        <v>0</v>
      </c>
      <c r="J9" s="79">
        <v>0</v>
      </c>
      <c r="K9" s="144">
        <f>(B12/4)/(B9*B19)</f>
        <v>1.5414027088145461E-10</v>
      </c>
      <c r="L9" s="79">
        <v>0</v>
      </c>
      <c r="M9" s="177" t="s">
        <v>266</v>
      </c>
      <c r="N9" s="175"/>
      <c r="R9" s="201"/>
    </row>
    <row r="10" spans="1:18" ht="17" thickBot="1">
      <c r="A10" s="79" t="s">
        <v>330</v>
      </c>
      <c r="B10" s="80"/>
      <c r="C10" s="96" t="s">
        <v>274</v>
      </c>
      <c r="D10" s="229">
        <f>D6/(D8*D9)</f>
        <v>578200</v>
      </c>
      <c r="E10" s="178" t="s">
        <v>260</v>
      </c>
      <c r="F10" s="399"/>
      <c r="G10" s="179">
        <f>L5</f>
        <v>-9.1559390770442208E-9</v>
      </c>
      <c r="H10" s="158">
        <v>0</v>
      </c>
      <c r="I10" s="158">
        <v>0</v>
      </c>
      <c r="J10" s="158">
        <v>0</v>
      </c>
      <c r="K10" s="158">
        <v>0</v>
      </c>
      <c r="L10" s="179">
        <f>(1/(3*B7*B17*B12))*(2*B12^2+3*B11^2-3*B11*B12)</f>
        <v>2.0718246757670576E-10</v>
      </c>
      <c r="M10" s="180" t="s">
        <v>267</v>
      </c>
      <c r="N10" s="175"/>
      <c r="R10" s="201"/>
    </row>
    <row r="11" spans="1:18">
      <c r="A11" s="96" t="s">
        <v>335</v>
      </c>
      <c r="B11" s="278">
        <v>100</v>
      </c>
      <c r="C11" s="96" t="s">
        <v>35</v>
      </c>
      <c r="D11" s="80">
        <v>25</v>
      </c>
      <c r="E11" s="155"/>
      <c r="F11" s="155"/>
      <c r="G11" s="155"/>
      <c r="H11" s="155"/>
      <c r="I11" s="154"/>
      <c r="J11" s="155"/>
      <c r="K11" s="155"/>
      <c r="L11" s="155"/>
      <c r="M11" s="155"/>
      <c r="O11" s="141"/>
      <c r="R11" s="201"/>
    </row>
    <row r="12" spans="1:18">
      <c r="A12" s="96" t="s">
        <v>221</v>
      </c>
      <c r="B12" s="80">
        <v>1400</v>
      </c>
      <c r="C12" s="96" t="s">
        <v>365</v>
      </c>
      <c r="D12" s="95">
        <f>D7*D11^2/4</f>
        <v>101093750</v>
      </c>
      <c r="I12" s="80"/>
      <c r="O12" s="141"/>
      <c r="R12" s="201"/>
    </row>
    <row r="13" spans="1:18">
      <c r="A13" s="96" t="s">
        <v>349</v>
      </c>
      <c r="B13" s="80">
        <f>8*25.4</f>
        <v>203.2</v>
      </c>
      <c r="C13" s="96" t="s">
        <v>275</v>
      </c>
      <c r="D13" s="95">
        <f>D7*D11^2/12</f>
        <v>33697916.666666664</v>
      </c>
      <c r="I13" s="80"/>
      <c r="O13" s="141"/>
      <c r="R13" s="201"/>
    </row>
    <row r="14" spans="1:18">
      <c r="A14" s="96" t="s">
        <v>348</v>
      </c>
      <c r="B14" s="80">
        <f>8*25.4</f>
        <v>203.2</v>
      </c>
      <c r="C14" s="96" t="s">
        <v>276</v>
      </c>
      <c r="D14" s="92">
        <f>D13</f>
        <v>33697916.666666664</v>
      </c>
      <c r="I14" s="80"/>
      <c r="O14" s="141"/>
      <c r="R14" s="201"/>
    </row>
    <row r="15" spans="1:18">
      <c r="A15" s="96" t="s">
        <v>257</v>
      </c>
      <c r="B15" s="80">
        <f>0.5*25.4</f>
        <v>12.7</v>
      </c>
      <c r="C15" s="107" t="s">
        <v>354</v>
      </c>
      <c r="D15" s="80"/>
      <c r="I15" s="80"/>
      <c r="O15" s="141"/>
      <c r="R15" s="201"/>
    </row>
    <row r="16" spans="1:18">
      <c r="A16" s="96" t="s">
        <v>258</v>
      </c>
      <c r="B16" s="92">
        <f>B13*B14-(B13-2*B15)*(B14-2*B15)</f>
        <v>9677.4000000000051</v>
      </c>
      <c r="C16" s="108" t="s">
        <v>253</v>
      </c>
      <c r="D16" s="80"/>
      <c r="I16" s="80"/>
      <c r="O16" s="141"/>
      <c r="R16" s="201"/>
    </row>
    <row r="17" spans="1:19">
      <c r="A17" s="250" t="s">
        <v>378</v>
      </c>
      <c r="B17" s="93">
        <f>(B14^3*B13-(B13-2*B15)*(B14-2*B15)^3)/12</f>
        <v>58792688.866000019</v>
      </c>
      <c r="C17" s="109" t="s">
        <v>255</v>
      </c>
      <c r="D17" s="80">
        <v>18</v>
      </c>
      <c r="I17" s="80"/>
      <c r="O17" s="141"/>
      <c r="R17" s="201"/>
    </row>
    <row r="18" spans="1:19">
      <c r="A18" s="250" t="s">
        <v>379</v>
      </c>
      <c r="B18" s="93">
        <f>(B14*B13^3-(B13-2*B15)^3*(B14-2*B15))/12</f>
        <v>58792688.866000019</v>
      </c>
      <c r="C18" s="109" t="s">
        <v>221</v>
      </c>
      <c r="D18" s="80">
        <v>2500</v>
      </c>
      <c r="I18" s="80"/>
      <c r="O18" s="141"/>
      <c r="R18" s="201"/>
    </row>
    <row r="19" spans="1:19">
      <c r="A19" s="96" t="s">
        <v>223</v>
      </c>
      <c r="B19" s="93">
        <f>2*B15*B15*(B13-B15)^2*(B14-B15)^2/(B13*B15+B14*B15-2*B15^2)</f>
        <v>87798816.337500006</v>
      </c>
      <c r="C19" s="96" t="s">
        <v>54</v>
      </c>
      <c r="D19" s="110">
        <v>200000</v>
      </c>
      <c r="I19" s="80"/>
      <c r="O19" s="141"/>
      <c r="R19" s="201"/>
    </row>
    <row r="20" spans="1:19">
      <c r="A20" s="96" t="s">
        <v>323</v>
      </c>
      <c r="B20" s="92">
        <f>B18/B16</f>
        <v>6075.2566666666653</v>
      </c>
      <c r="C20" s="109" t="s">
        <v>254</v>
      </c>
      <c r="D20" s="93">
        <f>PI()*D17^2/4*D19/D18</f>
        <v>20357.520395261861</v>
      </c>
      <c r="I20" s="80"/>
      <c r="O20" s="141"/>
      <c r="R20" s="201"/>
    </row>
    <row r="21" spans="1:19" ht="17" thickBot="1">
      <c r="A21" s="231" t="s">
        <v>298</v>
      </c>
      <c r="B21" s="237">
        <f>48*B7*B18/B12^3</f>
        <v>70962.60405400586</v>
      </c>
      <c r="C21" s="231" t="s">
        <v>304</v>
      </c>
      <c r="D21" s="221">
        <v>3</v>
      </c>
      <c r="E21" s="168"/>
      <c r="F21" s="168"/>
      <c r="G21" s="168"/>
      <c r="H21" s="168"/>
      <c r="I21" s="221"/>
      <c r="J21" s="168"/>
      <c r="K21" s="168"/>
      <c r="L21" s="168"/>
      <c r="M21" s="168"/>
      <c r="O21" s="141"/>
      <c r="R21" s="201"/>
    </row>
    <row r="22" spans="1:19" ht="17" thickBot="1">
      <c r="A22" s="396" t="s">
        <v>345</v>
      </c>
      <c r="B22" s="397"/>
      <c r="C22" s="397"/>
      <c r="D22" s="397"/>
      <c r="E22" s="397"/>
      <c r="F22" s="397"/>
      <c r="G22" s="397"/>
      <c r="H22" s="397"/>
      <c r="I22" s="397"/>
      <c r="J22" s="397"/>
      <c r="K22" s="397"/>
      <c r="L22" s="397"/>
      <c r="M22" s="398"/>
      <c r="N22" s="175"/>
      <c r="O22" s="141"/>
      <c r="R22" s="201"/>
    </row>
    <row r="23" spans="1:19" ht="34">
      <c r="A23" s="263" t="s">
        <v>360</v>
      </c>
      <c r="B23" s="224"/>
      <c r="C23" s="232" t="s">
        <v>251</v>
      </c>
      <c r="D23" s="155"/>
      <c r="E23" s="155"/>
      <c r="F23" s="155"/>
      <c r="G23" s="155"/>
      <c r="H23" s="155"/>
      <c r="I23" s="155"/>
      <c r="J23" s="155"/>
      <c r="K23" s="155"/>
      <c r="L23" s="155"/>
      <c r="M23" s="155"/>
      <c r="O23" s="201"/>
      <c r="P23" s="201"/>
      <c r="Q23" s="201"/>
      <c r="R23" s="201"/>
    </row>
    <row r="24" spans="1:19">
      <c r="A24" s="96" t="s">
        <v>3</v>
      </c>
      <c r="B24" s="101"/>
      <c r="C24" s="146"/>
      <c r="O24" s="201"/>
      <c r="P24" s="201"/>
      <c r="Q24" s="201"/>
      <c r="R24" s="201"/>
    </row>
    <row r="25" spans="1:19">
      <c r="A25" s="209" t="s">
        <v>111</v>
      </c>
      <c r="B25" s="144">
        <f>SUM(H34:S34)+C25</f>
        <v>4000000</v>
      </c>
      <c r="C25" s="210">
        <v>0</v>
      </c>
      <c r="G25" s="234" t="s">
        <v>175</v>
      </c>
      <c r="O25" s="201"/>
      <c r="P25" s="201"/>
      <c r="Q25" s="201"/>
      <c r="R25" s="201"/>
    </row>
    <row r="26" spans="1:19">
      <c r="A26" s="209" t="s">
        <v>112</v>
      </c>
      <c r="B26" s="144">
        <f>SUM(H35:S35)+C26</f>
        <v>4000000</v>
      </c>
      <c r="C26" s="210">
        <v>0</v>
      </c>
      <c r="G26" s="80" t="s">
        <v>118</v>
      </c>
      <c r="O26" s="201"/>
      <c r="P26" s="201"/>
      <c r="Q26" s="201"/>
      <c r="R26" s="201"/>
    </row>
    <row r="27" spans="1:19">
      <c r="A27" s="209" t="s">
        <v>113</v>
      </c>
      <c r="B27" s="144">
        <f>SUM(H36:S36)+C27</f>
        <v>4000000</v>
      </c>
      <c r="C27" s="210">
        <v>0</v>
      </c>
      <c r="G27" s="204" t="s">
        <v>127</v>
      </c>
      <c r="H27" s="205">
        <v>4</v>
      </c>
      <c r="O27" s="201"/>
      <c r="P27" s="201"/>
      <c r="Q27" s="201"/>
      <c r="R27" s="201"/>
    </row>
    <row r="28" spans="1:19">
      <c r="A28" s="96" t="s">
        <v>109</v>
      </c>
      <c r="B28" s="101"/>
      <c r="C28" s="192"/>
      <c r="H28" s="387" t="s">
        <v>123</v>
      </c>
      <c r="I28" s="387"/>
      <c r="J28" s="387"/>
      <c r="K28" s="387"/>
      <c r="L28" s="387"/>
      <c r="M28" s="387"/>
      <c r="N28" s="387"/>
      <c r="O28" s="387"/>
      <c r="P28" s="387"/>
      <c r="Q28" s="387"/>
      <c r="R28" s="387"/>
      <c r="S28" s="387"/>
    </row>
    <row r="29" spans="1:19">
      <c r="A29" s="209" t="s">
        <v>8</v>
      </c>
      <c r="B29" s="144">
        <f>SUM(H38:S38)+SUM(H42:S42)+C29</f>
        <v>10004000000</v>
      </c>
      <c r="C29" s="210">
        <v>0</v>
      </c>
      <c r="G29" s="80" t="s">
        <v>108</v>
      </c>
      <c r="H29" s="84">
        <v>1</v>
      </c>
      <c r="I29" s="84">
        <f>H29+1</f>
        <v>2</v>
      </c>
      <c r="J29" s="84">
        <f t="shared" ref="J29:R29" si="0">I29+1</f>
        <v>3</v>
      </c>
      <c r="K29" s="84">
        <f t="shared" si="0"/>
        <v>4</v>
      </c>
      <c r="L29" s="84">
        <f t="shared" si="0"/>
        <v>5</v>
      </c>
      <c r="M29" s="84">
        <f t="shared" si="0"/>
        <v>6</v>
      </c>
      <c r="N29" s="84">
        <f t="shared" si="0"/>
        <v>7</v>
      </c>
      <c r="O29" s="84">
        <f t="shared" si="0"/>
        <v>8</v>
      </c>
      <c r="P29" s="84">
        <f>O29+1</f>
        <v>9</v>
      </c>
      <c r="Q29" s="84">
        <f t="shared" si="0"/>
        <v>10</v>
      </c>
      <c r="R29" s="84">
        <f t="shared" si="0"/>
        <v>11</v>
      </c>
      <c r="S29" s="84">
        <f>R29+1</f>
        <v>12</v>
      </c>
    </row>
    <row r="30" spans="1:19">
      <c r="A30" s="209" t="s">
        <v>114</v>
      </c>
      <c r="B30" s="144">
        <f>SUM(H39:S39)+SUM(H43:S43)+C30</f>
        <v>20004000000</v>
      </c>
      <c r="C30" s="210">
        <v>0</v>
      </c>
      <c r="G30" s="96" t="s">
        <v>42</v>
      </c>
      <c r="H30" s="205">
        <v>50</v>
      </c>
      <c r="I30" s="205">
        <v>-50</v>
      </c>
      <c r="J30" s="205">
        <v>-50</v>
      </c>
      <c r="K30" s="205">
        <v>50</v>
      </c>
      <c r="L30" s="205">
        <v>0</v>
      </c>
      <c r="M30" s="205">
        <v>0</v>
      </c>
      <c r="N30" s="205">
        <v>0</v>
      </c>
      <c r="O30" s="205">
        <v>0</v>
      </c>
      <c r="P30" s="205">
        <v>0</v>
      </c>
      <c r="Q30" s="205">
        <v>0</v>
      </c>
      <c r="R30" s="205">
        <v>0</v>
      </c>
      <c r="S30" s="205">
        <v>0</v>
      </c>
    </row>
    <row r="31" spans="1:19">
      <c r="A31" s="209" t="s">
        <v>110</v>
      </c>
      <c r="B31" s="144">
        <f>SUM(H40:S40)+SUM(H44:S44)+C31</f>
        <v>10004000000</v>
      </c>
      <c r="C31" s="210">
        <v>0</v>
      </c>
      <c r="G31" s="96" t="s">
        <v>43</v>
      </c>
      <c r="H31" s="205">
        <v>0</v>
      </c>
      <c r="I31" s="205">
        <v>0</v>
      </c>
      <c r="J31" s="205">
        <v>0</v>
      </c>
      <c r="K31" s="205">
        <v>0</v>
      </c>
      <c r="L31" s="205">
        <v>0</v>
      </c>
      <c r="M31" s="205">
        <v>0</v>
      </c>
      <c r="N31" s="205">
        <v>0</v>
      </c>
      <c r="O31" s="205">
        <v>0</v>
      </c>
      <c r="P31" s="205">
        <v>0</v>
      </c>
      <c r="Q31" s="205">
        <v>0</v>
      </c>
      <c r="R31" s="205">
        <v>0</v>
      </c>
      <c r="S31" s="205">
        <v>0</v>
      </c>
    </row>
    <row r="32" spans="1:19">
      <c r="A32" s="388" t="s">
        <v>180</v>
      </c>
      <c r="B32" s="388"/>
      <c r="C32" s="388"/>
      <c r="G32" s="96" t="s">
        <v>44</v>
      </c>
      <c r="H32" s="205">
        <v>50</v>
      </c>
      <c r="I32" s="205">
        <v>50</v>
      </c>
      <c r="J32" s="205">
        <v>-50</v>
      </c>
      <c r="K32" s="205">
        <v>-50</v>
      </c>
      <c r="L32" s="205">
        <v>0</v>
      </c>
      <c r="M32" s="205">
        <v>0</v>
      </c>
      <c r="N32" s="205">
        <v>0</v>
      </c>
      <c r="O32" s="205">
        <v>0</v>
      </c>
      <c r="P32" s="205">
        <v>0</v>
      </c>
      <c r="Q32" s="205">
        <v>0</v>
      </c>
      <c r="R32" s="205">
        <v>0</v>
      </c>
      <c r="S32" s="205">
        <v>0</v>
      </c>
    </row>
    <row r="33" spans="1:19">
      <c r="A33" s="388"/>
      <c r="B33" s="388"/>
      <c r="C33" s="388"/>
      <c r="G33" s="80" t="s">
        <v>124</v>
      </c>
      <c r="H33" s="389" t="s">
        <v>364</v>
      </c>
      <c r="I33" s="389"/>
      <c r="J33" s="389"/>
      <c r="K33" s="389"/>
    </row>
    <row r="34" spans="1:19">
      <c r="A34" s="388"/>
      <c r="B34" s="388"/>
      <c r="C34" s="388"/>
      <c r="G34" s="96" t="s">
        <v>111</v>
      </c>
      <c r="H34" s="134">
        <v>1000000</v>
      </c>
      <c r="I34" s="134">
        <v>1000000</v>
      </c>
      <c r="J34" s="134">
        <v>1000000</v>
      </c>
      <c r="K34" s="134">
        <v>1000000</v>
      </c>
      <c r="L34" s="205">
        <v>0</v>
      </c>
      <c r="M34" s="205">
        <v>0</v>
      </c>
      <c r="N34" s="205">
        <v>0</v>
      </c>
      <c r="O34" s="205">
        <v>0</v>
      </c>
      <c r="P34" s="205">
        <v>0</v>
      </c>
      <c r="Q34" s="205">
        <v>0</v>
      </c>
      <c r="R34" s="205">
        <v>0</v>
      </c>
      <c r="S34" s="205">
        <v>0</v>
      </c>
    </row>
    <row r="35" spans="1:19">
      <c r="A35" s="212" t="s">
        <v>176</v>
      </c>
      <c r="B35" s="205"/>
      <c r="C35" s="205"/>
      <c r="G35" s="96" t="s">
        <v>112</v>
      </c>
      <c r="H35" s="134">
        <v>1000000</v>
      </c>
      <c r="I35" s="134">
        <v>1000000</v>
      </c>
      <c r="J35" s="134">
        <v>1000000</v>
      </c>
      <c r="K35" s="134">
        <v>1000000</v>
      </c>
      <c r="L35" s="205">
        <v>0</v>
      </c>
      <c r="M35" s="205">
        <v>0</v>
      </c>
      <c r="N35" s="205">
        <v>0</v>
      </c>
      <c r="O35" s="205">
        <v>0</v>
      </c>
      <c r="P35" s="205">
        <v>0</v>
      </c>
      <c r="Q35" s="205">
        <v>0</v>
      </c>
      <c r="R35" s="205">
        <v>0</v>
      </c>
      <c r="S35" s="205">
        <v>0</v>
      </c>
    </row>
    <row r="36" spans="1:19">
      <c r="A36" s="79" t="s">
        <v>103</v>
      </c>
      <c r="G36" s="96" t="s">
        <v>113</v>
      </c>
      <c r="H36" s="134">
        <v>1000000</v>
      </c>
      <c r="I36" s="134">
        <v>1000000</v>
      </c>
      <c r="J36" s="134">
        <v>1000000</v>
      </c>
      <c r="K36" s="134">
        <v>1000000</v>
      </c>
      <c r="L36" s="205">
        <v>0</v>
      </c>
      <c r="M36" s="205">
        <v>0</v>
      </c>
      <c r="N36" s="205">
        <v>0</v>
      </c>
      <c r="O36" s="205">
        <v>0</v>
      </c>
      <c r="P36" s="205">
        <v>0</v>
      </c>
      <c r="Q36" s="205">
        <v>0</v>
      </c>
      <c r="R36" s="205">
        <v>0</v>
      </c>
      <c r="S36" s="205">
        <v>0</v>
      </c>
    </row>
    <row r="37" spans="1:19">
      <c r="A37" s="96" t="s">
        <v>177</v>
      </c>
      <c r="B37" s="205">
        <v>0</v>
      </c>
      <c r="G37" s="80" t="s">
        <v>125</v>
      </c>
      <c r="H37" s="389"/>
      <c r="I37" s="389"/>
      <c r="J37" s="389"/>
      <c r="K37" s="389"/>
    </row>
    <row r="38" spans="1:19">
      <c r="A38" s="96" t="s">
        <v>178</v>
      </c>
      <c r="B38" s="205">
        <v>0</v>
      </c>
      <c r="G38" s="96" t="s">
        <v>8</v>
      </c>
      <c r="H38" s="134">
        <v>1000000</v>
      </c>
      <c r="I38" s="134">
        <v>1000000</v>
      </c>
      <c r="J38" s="134">
        <v>1000000</v>
      </c>
      <c r="K38" s="134">
        <v>1000000</v>
      </c>
      <c r="L38" s="205">
        <v>0</v>
      </c>
      <c r="M38" s="205">
        <v>0</v>
      </c>
      <c r="N38" s="205">
        <v>0</v>
      </c>
      <c r="O38" s="205">
        <v>0</v>
      </c>
      <c r="P38" s="205">
        <v>0</v>
      </c>
      <c r="Q38" s="205">
        <v>0</v>
      </c>
      <c r="R38" s="205">
        <v>0</v>
      </c>
      <c r="S38" s="205">
        <v>0</v>
      </c>
    </row>
    <row r="39" spans="1:19">
      <c r="A39" s="96" t="s">
        <v>179</v>
      </c>
      <c r="B39" s="205">
        <v>0</v>
      </c>
      <c r="G39" s="96" t="s">
        <v>114</v>
      </c>
      <c r="H39" s="134">
        <v>1000000</v>
      </c>
      <c r="I39" s="134">
        <v>1000000</v>
      </c>
      <c r="J39" s="134">
        <v>1000000</v>
      </c>
      <c r="K39" s="134">
        <v>1000000</v>
      </c>
      <c r="L39" s="205">
        <v>0</v>
      </c>
      <c r="M39" s="205">
        <v>0</v>
      </c>
      <c r="N39" s="205">
        <v>0</v>
      </c>
      <c r="O39" s="205">
        <v>0</v>
      </c>
      <c r="P39" s="205">
        <v>0</v>
      </c>
      <c r="Q39" s="205">
        <v>0</v>
      </c>
      <c r="R39" s="205">
        <v>0</v>
      </c>
      <c r="S39" s="205">
        <v>0</v>
      </c>
    </row>
    <row r="40" spans="1:19">
      <c r="A40" s="141" t="s">
        <v>104</v>
      </c>
      <c r="G40" s="96" t="s">
        <v>110</v>
      </c>
      <c r="H40" s="134">
        <v>1000000</v>
      </c>
      <c r="I40" s="134">
        <v>1000000</v>
      </c>
      <c r="J40" s="134">
        <v>1000000</v>
      </c>
      <c r="K40" s="134">
        <v>1000000</v>
      </c>
      <c r="L40" s="205">
        <v>0</v>
      </c>
      <c r="M40" s="205">
        <v>0</v>
      </c>
      <c r="N40" s="205">
        <v>0</v>
      </c>
      <c r="O40" s="205">
        <v>0</v>
      </c>
      <c r="P40" s="205">
        <v>0</v>
      </c>
      <c r="Q40" s="205">
        <v>0</v>
      </c>
      <c r="R40" s="205">
        <v>0</v>
      </c>
      <c r="S40" s="205">
        <v>0</v>
      </c>
    </row>
    <row r="41" spans="1:19">
      <c r="A41" s="96" t="s">
        <v>177</v>
      </c>
      <c r="B41" s="205">
        <v>0</v>
      </c>
      <c r="G41" s="80" t="s">
        <v>119</v>
      </c>
    </row>
    <row r="42" spans="1:19">
      <c r="A42" s="96" t="s">
        <v>178</v>
      </c>
      <c r="B42" s="205">
        <v>0</v>
      </c>
      <c r="D42" s="85"/>
      <c r="E42" s="85"/>
      <c r="F42" s="85"/>
      <c r="G42" s="96" t="s">
        <v>8</v>
      </c>
      <c r="H42" s="144">
        <f>H35*H32^2+H36*H31^2</f>
        <v>2500000000</v>
      </c>
      <c r="I42" s="144">
        <f t="shared" ref="I42:S42" si="1">I35*I32^2+I36*I31^2</f>
        <v>2500000000</v>
      </c>
      <c r="J42" s="144">
        <f t="shared" si="1"/>
        <v>2500000000</v>
      </c>
      <c r="K42" s="144">
        <f t="shared" si="1"/>
        <v>2500000000</v>
      </c>
      <c r="L42" s="99">
        <f t="shared" si="1"/>
        <v>0</v>
      </c>
      <c r="M42" s="99">
        <f t="shared" si="1"/>
        <v>0</v>
      </c>
      <c r="N42" s="99">
        <f t="shared" si="1"/>
        <v>0</v>
      </c>
      <c r="O42" s="99">
        <f t="shared" si="1"/>
        <v>0</v>
      </c>
      <c r="P42" s="99">
        <f t="shared" si="1"/>
        <v>0</v>
      </c>
      <c r="Q42" s="99">
        <f t="shared" si="1"/>
        <v>0</v>
      </c>
      <c r="R42" s="99">
        <f t="shared" si="1"/>
        <v>0</v>
      </c>
      <c r="S42" s="99">
        <f t="shared" si="1"/>
        <v>0</v>
      </c>
    </row>
    <row r="43" spans="1:19">
      <c r="A43" s="96" t="s">
        <v>179</v>
      </c>
      <c r="B43" s="205">
        <v>0</v>
      </c>
      <c r="D43" s="85"/>
      <c r="E43" s="85"/>
      <c r="F43" s="85"/>
      <c r="G43" s="96" t="s">
        <v>114</v>
      </c>
      <c r="H43" s="144">
        <f>H34*H32^2+H36*H30^2</f>
        <v>5000000000</v>
      </c>
      <c r="I43" s="144">
        <f t="shared" ref="I43:S43" si="2">I34*I32^2+I36*I30^2</f>
        <v>5000000000</v>
      </c>
      <c r="J43" s="144">
        <f t="shared" si="2"/>
        <v>5000000000</v>
      </c>
      <c r="K43" s="144">
        <f t="shared" si="2"/>
        <v>5000000000</v>
      </c>
      <c r="L43" s="99">
        <f t="shared" si="2"/>
        <v>0</v>
      </c>
      <c r="M43" s="99">
        <f t="shared" si="2"/>
        <v>0</v>
      </c>
      <c r="N43" s="99">
        <f t="shared" si="2"/>
        <v>0</v>
      </c>
      <c r="O43" s="99">
        <f t="shared" si="2"/>
        <v>0</v>
      </c>
      <c r="P43" s="99">
        <f t="shared" si="2"/>
        <v>0</v>
      </c>
      <c r="Q43" s="99">
        <f t="shared" si="2"/>
        <v>0</v>
      </c>
      <c r="R43" s="99">
        <f t="shared" si="2"/>
        <v>0</v>
      </c>
      <c r="S43" s="99">
        <f t="shared" si="2"/>
        <v>0</v>
      </c>
    </row>
    <row r="44" spans="1:19">
      <c r="A44" s="206" t="s">
        <v>194</v>
      </c>
      <c r="C44" s="85"/>
      <c r="D44" s="85"/>
      <c r="E44" s="85"/>
      <c r="F44" s="85"/>
      <c r="G44" s="96" t="s">
        <v>110</v>
      </c>
      <c r="H44" s="144">
        <f>H34*H31^2+H35*H30^2</f>
        <v>2500000000</v>
      </c>
      <c r="I44" s="144">
        <f t="shared" ref="I44:S44" si="3">I34*I31^2+I35*I30^2</f>
        <v>2500000000</v>
      </c>
      <c r="J44" s="144">
        <f t="shared" si="3"/>
        <v>2500000000</v>
      </c>
      <c r="K44" s="144">
        <f t="shared" si="3"/>
        <v>2500000000</v>
      </c>
      <c r="L44" s="99">
        <f t="shared" si="3"/>
        <v>0</v>
      </c>
      <c r="M44" s="99">
        <f t="shared" si="3"/>
        <v>0</v>
      </c>
      <c r="N44" s="99">
        <f t="shared" si="3"/>
        <v>0</v>
      </c>
      <c r="O44" s="99">
        <f t="shared" si="3"/>
        <v>0</v>
      </c>
      <c r="P44" s="99">
        <f t="shared" si="3"/>
        <v>0</v>
      </c>
      <c r="Q44" s="99">
        <f t="shared" si="3"/>
        <v>0</v>
      </c>
      <c r="R44" s="99">
        <f t="shared" si="3"/>
        <v>0</v>
      </c>
      <c r="S44" s="99">
        <f t="shared" si="3"/>
        <v>0</v>
      </c>
    </row>
    <row r="45" spans="1:19">
      <c r="A45" s="96" t="s">
        <v>115</v>
      </c>
      <c r="B45" s="99">
        <f>SQRT((H46^2+I46^2+J46^2+K46^2+L46^2+M46^2+N46^2+O46^2+P46^2+Q46^2+R46^2+S46^2)/H$27)</f>
        <v>5.0000000000000001E-3</v>
      </c>
      <c r="C45" s="85"/>
      <c r="D45" s="85"/>
      <c r="E45" s="85"/>
      <c r="F45" s="85"/>
      <c r="G45" s="80" t="s">
        <v>293</v>
      </c>
    </row>
    <row r="46" spans="1:19">
      <c r="A46" s="96" t="s">
        <v>116</v>
      </c>
      <c r="B46" s="99">
        <f>SQRT((H47^2+I47^2+J47^2+K47^2+L47^2+M47^2+N47^2+O47^2+P47^2+Q47^2+R47^2+S47^2)/H$27)</f>
        <v>5.0000000000000001E-3</v>
      </c>
      <c r="C46" s="85"/>
      <c r="D46" s="85"/>
      <c r="E46" s="85"/>
      <c r="F46" s="85"/>
      <c r="G46" s="96" t="s">
        <v>115</v>
      </c>
      <c r="H46" s="205">
        <f t="shared" ref="H46:K48" si="4">IF(REBS="YES", REB, 0.005)</f>
        <v>5.0000000000000001E-3</v>
      </c>
      <c r="I46" s="205">
        <f t="shared" si="4"/>
        <v>5.0000000000000001E-3</v>
      </c>
      <c r="J46" s="205">
        <f t="shared" si="4"/>
        <v>5.0000000000000001E-3</v>
      </c>
      <c r="K46" s="205">
        <f t="shared" si="4"/>
        <v>5.0000000000000001E-3</v>
      </c>
      <c r="L46" s="205">
        <v>0</v>
      </c>
      <c r="M46" s="205">
        <v>0</v>
      </c>
      <c r="N46" s="205">
        <v>0</v>
      </c>
      <c r="O46" s="205">
        <v>0</v>
      </c>
      <c r="P46" s="205">
        <v>0</v>
      </c>
      <c r="Q46" s="205">
        <v>0</v>
      </c>
      <c r="R46" s="205">
        <v>0</v>
      </c>
      <c r="S46" s="205">
        <v>0</v>
      </c>
    </row>
    <row r="47" spans="1:19">
      <c r="A47" s="96" t="s">
        <v>117</v>
      </c>
      <c r="B47" s="99">
        <f>SQRT((H48^2+I48^2+J48^2+K48^2+L48^2+M48^2+N48^2+O48^2+P48^2+Q48^2+R48^2+S48^2)/H$27)</f>
        <v>5.0000000000000001E-3</v>
      </c>
      <c r="C47" s="85"/>
      <c r="D47" s="85"/>
      <c r="E47" s="85"/>
      <c r="F47" s="85"/>
      <c r="G47" s="96" t="s">
        <v>116</v>
      </c>
      <c r="H47" s="205">
        <f t="shared" si="4"/>
        <v>5.0000000000000001E-3</v>
      </c>
      <c r="I47" s="205">
        <f t="shared" si="4"/>
        <v>5.0000000000000001E-3</v>
      </c>
      <c r="J47" s="205">
        <f t="shared" si="4"/>
        <v>5.0000000000000001E-3</v>
      </c>
      <c r="K47" s="205">
        <f t="shared" si="4"/>
        <v>5.0000000000000001E-3</v>
      </c>
      <c r="L47" s="205">
        <v>0</v>
      </c>
      <c r="M47" s="205">
        <v>0</v>
      </c>
      <c r="N47" s="205">
        <v>0</v>
      </c>
      <c r="O47" s="205">
        <v>0</v>
      </c>
      <c r="P47" s="205">
        <v>0</v>
      </c>
      <c r="Q47" s="205">
        <v>0</v>
      </c>
      <c r="R47" s="205">
        <v>0</v>
      </c>
      <c r="S47" s="205">
        <v>0</v>
      </c>
    </row>
    <row r="48" spans="1:19">
      <c r="A48" s="96" t="s">
        <v>80</v>
      </c>
      <c r="B48" s="99">
        <f>SQRT((H50^2+I50^2+J50^2+K50^2+L50^2+M50^2+N50^2+O50^2+P50^2+Q50^2+R50^2+S50^2+B37^2)/H$27)</f>
        <v>1.0000000000000007E-4</v>
      </c>
      <c r="G48" s="96" t="s">
        <v>117</v>
      </c>
      <c r="H48" s="205">
        <f t="shared" si="4"/>
        <v>5.0000000000000001E-3</v>
      </c>
      <c r="I48" s="205">
        <f t="shared" si="4"/>
        <v>5.0000000000000001E-3</v>
      </c>
      <c r="J48" s="205">
        <f t="shared" si="4"/>
        <v>5.0000000000000001E-3</v>
      </c>
      <c r="K48" s="205">
        <f t="shared" si="4"/>
        <v>5.0000000000000001E-3</v>
      </c>
      <c r="L48" s="205">
        <v>0</v>
      </c>
      <c r="M48" s="205">
        <v>0</v>
      </c>
      <c r="N48" s="205">
        <v>0</v>
      </c>
      <c r="O48" s="205">
        <v>0</v>
      </c>
      <c r="P48" s="205">
        <v>0</v>
      </c>
      <c r="Q48" s="205">
        <v>0</v>
      </c>
      <c r="R48" s="205">
        <v>0</v>
      </c>
      <c r="S48" s="205">
        <v>0</v>
      </c>
    </row>
    <row r="49" spans="1:20">
      <c r="A49" s="96" t="s">
        <v>81</v>
      </c>
      <c r="B49" s="99">
        <f>SQRT((H51^2+I51^2+J51^2+K51^2+L51^2+M51^2+N51^2+O51^2+P51^2+Q51^2+R51^2+S51^2+B38^2)/H$27)</f>
        <v>9.9999999000000077E-5</v>
      </c>
      <c r="C49" s="85"/>
      <c r="D49" s="85"/>
      <c r="E49" s="85"/>
      <c r="F49" s="85"/>
      <c r="G49" s="80" t="s">
        <v>238</v>
      </c>
    </row>
    <row r="50" spans="1:20">
      <c r="A50" s="96" t="s">
        <v>82</v>
      </c>
      <c r="B50" s="99">
        <f>SQRT((H52^2+I52^2+J52^2+K52^2+L52^2+M52^2+N52^2+O52^2+P52^2+Q52^2+R52^2+S52^2+B39^2)/H$27)</f>
        <v>1.0000000000000007E-4</v>
      </c>
      <c r="C50" s="85"/>
      <c r="D50" s="85"/>
      <c r="E50" s="85"/>
      <c r="F50" s="85"/>
      <c r="G50" s="96" t="s">
        <v>80</v>
      </c>
      <c r="H50" s="144">
        <f>H97</f>
        <v>9.9999998000000053E-5</v>
      </c>
      <c r="I50" s="144">
        <f t="shared" ref="I50:S50" si="5">I97</f>
        <v>9.9999998000000053E-5</v>
      </c>
      <c r="J50" s="144">
        <f t="shared" si="5"/>
        <v>1.0000000200000004E-4</v>
      </c>
      <c r="K50" s="144">
        <f t="shared" si="5"/>
        <v>1.0000000200000004E-4</v>
      </c>
      <c r="L50" s="144">
        <f t="shared" si="5"/>
        <v>0</v>
      </c>
      <c r="M50" s="144">
        <f t="shared" si="5"/>
        <v>0</v>
      </c>
      <c r="N50" s="144">
        <f t="shared" si="5"/>
        <v>0</v>
      </c>
      <c r="O50" s="144">
        <f t="shared" si="5"/>
        <v>0</v>
      </c>
      <c r="P50" s="144">
        <f t="shared" si="5"/>
        <v>0</v>
      </c>
      <c r="Q50" s="144">
        <f t="shared" si="5"/>
        <v>0</v>
      </c>
      <c r="R50" s="144">
        <f t="shared" si="5"/>
        <v>0</v>
      </c>
      <c r="S50" s="144">
        <f t="shared" si="5"/>
        <v>0</v>
      </c>
    </row>
    <row r="51" spans="1:20" ht="51">
      <c r="A51" s="207" t="s">
        <v>195</v>
      </c>
      <c r="B51" s="101"/>
      <c r="C51" s="85"/>
      <c r="D51" s="85"/>
      <c r="E51" s="85"/>
      <c r="F51" s="85"/>
      <c r="G51" s="96" t="s">
        <v>81</v>
      </c>
      <c r="H51" s="144">
        <f>H101</f>
        <v>9.9999998000000053E-5</v>
      </c>
      <c r="I51" s="144">
        <f t="shared" ref="I51:S51" si="6">I101</f>
        <v>9.9999998000000053E-5</v>
      </c>
      <c r="J51" s="144">
        <f t="shared" si="6"/>
        <v>1.0000000200000004E-4</v>
      </c>
      <c r="K51" s="144">
        <f t="shared" si="6"/>
        <v>9.9999998000000053E-5</v>
      </c>
      <c r="L51" s="144">
        <f t="shared" si="6"/>
        <v>0</v>
      </c>
      <c r="M51" s="144">
        <f t="shared" si="6"/>
        <v>0</v>
      </c>
      <c r="N51" s="144">
        <f t="shared" si="6"/>
        <v>0</v>
      </c>
      <c r="O51" s="144">
        <f t="shared" si="6"/>
        <v>0</v>
      </c>
      <c r="P51" s="144">
        <f t="shared" si="6"/>
        <v>0</v>
      </c>
      <c r="Q51" s="144">
        <f t="shared" si="6"/>
        <v>0</v>
      </c>
      <c r="R51" s="144">
        <f t="shared" si="6"/>
        <v>0</v>
      </c>
      <c r="S51" s="144">
        <f t="shared" si="6"/>
        <v>0</v>
      </c>
      <c r="T51" s="81"/>
    </row>
    <row r="52" spans="1:20">
      <c r="A52" s="96" t="s">
        <v>115</v>
      </c>
      <c r="B52" s="99">
        <f>SQRT((H54^2+I54^2+J54^2+K54^2+L54^2+M54^2+N54^2+O54^2+P54^2+Q54^2+R54^2+S54^2)/H$27)</f>
        <v>0</v>
      </c>
      <c r="C52" s="85"/>
      <c r="D52" s="85"/>
      <c r="E52" s="85"/>
      <c r="F52" s="85"/>
      <c r="G52" s="96" t="s">
        <v>82</v>
      </c>
      <c r="H52" s="144">
        <f>H105</f>
        <v>9.9999998000000053E-5</v>
      </c>
      <c r="I52" s="144">
        <f t="shared" ref="I52:S52" si="7">I105</f>
        <v>1.0000000200000004E-4</v>
      </c>
      <c r="J52" s="144">
        <f t="shared" si="7"/>
        <v>1.0000000200000004E-4</v>
      </c>
      <c r="K52" s="144">
        <f t="shared" si="7"/>
        <v>9.9999998000000053E-5</v>
      </c>
      <c r="L52" s="144">
        <f t="shared" si="7"/>
        <v>0</v>
      </c>
      <c r="M52" s="144">
        <f t="shared" si="7"/>
        <v>0</v>
      </c>
      <c r="N52" s="144">
        <f t="shared" si="7"/>
        <v>0</v>
      </c>
      <c r="O52" s="144">
        <f t="shared" si="7"/>
        <v>0</v>
      </c>
      <c r="P52" s="144">
        <f t="shared" si="7"/>
        <v>0</v>
      </c>
      <c r="Q52" s="144">
        <f t="shared" si="7"/>
        <v>0</v>
      </c>
      <c r="R52" s="144">
        <f t="shared" si="7"/>
        <v>0</v>
      </c>
      <c r="S52" s="144">
        <f t="shared" si="7"/>
        <v>0</v>
      </c>
    </row>
    <row r="53" spans="1:20">
      <c r="A53" s="96" t="s">
        <v>116</v>
      </c>
      <c r="B53" s="99">
        <f>SQRT((H55^2+I55^2+J55^2+K55^2+L55^2+M55^2+N55^2+O55^2+P55^2+Q55^2+R55^2+S55^2)/H$27)</f>
        <v>0</v>
      </c>
      <c r="C53" s="85"/>
      <c r="D53" s="85"/>
      <c r="E53" s="85"/>
      <c r="F53" s="85"/>
      <c r="G53" s="80" t="s">
        <v>317</v>
      </c>
    </row>
    <row r="54" spans="1:20">
      <c r="A54" s="96" t="s">
        <v>117</v>
      </c>
      <c r="B54" s="99">
        <f>SQRT((H56^2+I56^2+J56^2+K56^2+L56^2+M56^2+N56^2+O56^2+P56^2+Q56^2+R56^2+S56^2)/H$27)</f>
        <v>0</v>
      </c>
      <c r="C54" s="85"/>
      <c r="D54" s="85"/>
      <c r="E54" s="85"/>
      <c r="F54" s="85"/>
      <c r="G54" s="96" t="s">
        <v>115</v>
      </c>
      <c r="H54" s="205">
        <v>0</v>
      </c>
      <c r="I54" s="205">
        <v>0</v>
      </c>
      <c r="J54" s="205">
        <v>0</v>
      </c>
      <c r="K54" s="205">
        <v>0</v>
      </c>
      <c r="L54" s="205">
        <v>0</v>
      </c>
      <c r="M54" s="205">
        <v>0</v>
      </c>
      <c r="N54" s="205">
        <v>0</v>
      </c>
      <c r="O54" s="205">
        <v>0</v>
      </c>
      <c r="P54" s="205">
        <v>0</v>
      </c>
      <c r="Q54" s="205">
        <v>0</v>
      </c>
      <c r="R54" s="205">
        <v>0</v>
      </c>
      <c r="S54" s="205">
        <v>0</v>
      </c>
    </row>
    <row r="55" spans="1:20">
      <c r="A55" s="96" t="s">
        <v>80</v>
      </c>
      <c r="B55" s="99">
        <f>SQRT((H58^2+I58^2+J58^2+K58^2+L58^2+M58^2+N58^2+O58^2+P58^2+Q58^2+R58^2+S58^2+B41^2)/H$27)</f>
        <v>0</v>
      </c>
      <c r="G55" s="96" t="s">
        <v>116</v>
      </c>
      <c r="H55" s="205">
        <v>0</v>
      </c>
      <c r="I55" s="205">
        <v>0</v>
      </c>
      <c r="J55" s="205">
        <v>0</v>
      </c>
      <c r="K55" s="205">
        <v>0</v>
      </c>
      <c r="L55" s="205">
        <v>0</v>
      </c>
      <c r="M55" s="205">
        <v>0</v>
      </c>
      <c r="N55" s="205">
        <v>0</v>
      </c>
      <c r="O55" s="205">
        <v>0</v>
      </c>
      <c r="P55" s="205">
        <v>0</v>
      </c>
      <c r="Q55" s="205">
        <v>0</v>
      </c>
      <c r="R55" s="205">
        <v>0</v>
      </c>
      <c r="S55" s="205">
        <v>0</v>
      </c>
    </row>
    <row r="56" spans="1:20">
      <c r="A56" s="96" t="s">
        <v>81</v>
      </c>
      <c r="B56" s="99">
        <f>SQRT((H59^2+I59^2+J59^2+K59^2+L59^2+M59^2+N59^2+O59^2+P59^2+Q59^2+R59^2+S59^2+B42^2)/H$27)</f>
        <v>0</v>
      </c>
      <c r="D56" s="208"/>
      <c r="E56" s="208"/>
      <c r="F56" s="208"/>
      <c r="G56" s="96" t="s">
        <v>117</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SQRT((H60^2+I60^2+J60^2+K60^2+L60^2+M60^2+N60^2+O60^2+P60^2+Q60^2+R60^2+S60^2+B43^2)/H$27)</f>
        <v>0</v>
      </c>
      <c r="D57" s="146"/>
      <c r="E57" s="146"/>
      <c r="F57" s="146"/>
      <c r="G57" s="80" t="s">
        <v>239</v>
      </c>
    </row>
    <row r="58" spans="1:20">
      <c r="D58" s="210"/>
      <c r="E58" s="210"/>
      <c r="F58" s="210"/>
      <c r="G58" s="96" t="s">
        <v>80</v>
      </c>
      <c r="H58" s="213">
        <f>H112</f>
        <v>0</v>
      </c>
      <c r="I58" s="213">
        <f t="shared" ref="I58:S58" si="8">I112</f>
        <v>0</v>
      </c>
      <c r="J58" s="213">
        <f t="shared" si="8"/>
        <v>0</v>
      </c>
      <c r="K58" s="213">
        <f t="shared" si="8"/>
        <v>0</v>
      </c>
      <c r="L58" s="213">
        <f t="shared" si="8"/>
        <v>0</v>
      </c>
      <c r="M58" s="213">
        <f t="shared" si="8"/>
        <v>0</v>
      </c>
      <c r="N58" s="213">
        <f t="shared" si="8"/>
        <v>0</v>
      </c>
      <c r="O58" s="213">
        <f t="shared" si="8"/>
        <v>0</v>
      </c>
      <c r="P58" s="213">
        <f t="shared" si="8"/>
        <v>0</v>
      </c>
      <c r="Q58" s="213">
        <f t="shared" si="8"/>
        <v>0</v>
      </c>
      <c r="R58" s="213">
        <f t="shared" si="8"/>
        <v>0</v>
      </c>
      <c r="S58" s="213">
        <f t="shared" si="8"/>
        <v>0</v>
      </c>
    </row>
    <row r="59" spans="1:20">
      <c r="A59" s="292" t="s">
        <v>387</v>
      </c>
      <c r="B59" s="292"/>
      <c r="D59" s="210"/>
      <c r="E59" s="210"/>
      <c r="F59" s="210"/>
      <c r="G59" s="96" t="s">
        <v>81</v>
      </c>
      <c r="H59" s="213">
        <f>H117</f>
        <v>0</v>
      </c>
      <c r="I59" s="213">
        <f t="shared" ref="I59:S59" si="9">I117</f>
        <v>0</v>
      </c>
      <c r="J59" s="213">
        <f t="shared" si="9"/>
        <v>0</v>
      </c>
      <c r="K59" s="213">
        <f t="shared" si="9"/>
        <v>0</v>
      </c>
      <c r="L59" s="213">
        <f t="shared" si="9"/>
        <v>0</v>
      </c>
      <c r="M59" s="213">
        <f t="shared" si="9"/>
        <v>0</v>
      </c>
      <c r="N59" s="213">
        <f t="shared" si="9"/>
        <v>0</v>
      </c>
      <c r="O59" s="213">
        <f t="shared" si="9"/>
        <v>0</v>
      </c>
      <c r="P59" s="213">
        <f t="shared" si="9"/>
        <v>0</v>
      </c>
      <c r="Q59" s="213">
        <f t="shared" si="9"/>
        <v>0</v>
      </c>
      <c r="R59" s="213">
        <f t="shared" si="9"/>
        <v>0</v>
      </c>
      <c r="S59" s="213">
        <f t="shared" si="9"/>
        <v>0</v>
      </c>
    </row>
    <row r="60" spans="1:20">
      <c r="A60" s="293" t="s">
        <v>80</v>
      </c>
      <c r="B60" s="294">
        <f>IF(MAX(ABS(B48),ABS(B55))=0, 0.001, MAX(ABS(B48),ABS(B55)))</f>
        <v>1.0000000000000007E-4</v>
      </c>
      <c r="D60" s="210"/>
      <c r="E60" s="210"/>
      <c r="F60" s="210"/>
      <c r="G60" s="96" t="s">
        <v>82</v>
      </c>
      <c r="H60" s="213">
        <f>H122</f>
        <v>0</v>
      </c>
      <c r="I60" s="213">
        <f t="shared" ref="I60:S60" si="10">I122</f>
        <v>0</v>
      </c>
      <c r="J60" s="213">
        <f t="shared" si="10"/>
        <v>0</v>
      </c>
      <c r="K60" s="213">
        <f t="shared" si="10"/>
        <v>0</v>
      </c>
      <c r="L60" s="213">
        <f t="shared" si="10"/>
        <v>0</v>
      </c>
      <c r="M60" s="213">
        <f t="shared" si="10"/>
        <v>0</v>
      </c>
      <c r="N60" s="213">
        <f t="shared" si="10"/>
        <v>0</v>
      </c>
      <c r="O60" s="213">
        <f t="shared" si="10"/>
        <v>0</v>
      </c>
      <c r="P60" s="213">
        <f t="shared" si="10"/>
        <v>0</v>
      </c>
      <c r="Q60" s="213">
        <f t="shared" si="10"/>
        <v>0</v>
      </c>
      <c r="R60" s="213">
        <f t="shared" si="10"/>
        <v>0</v>
      </c>
      <c r="S60" s="213">
        <f t="shared" si="10"/>
        <v>0</v>
      </c>
    </row>
    <row r="61" spans="1:20">
      <c r="A61" s="293" t="s">
        <v>81</v>
      </c>
      <c r="B61" s="294">
        <f t="shared" ref="B61:B62" si="11">IF(MAX(ABS(B49),ABS(B56))=0, 0.001, MAX(ABS(B49),ABS(B56)))</f>
        <v>9.9999999000000077E-5</v>
      </c>
      <c r="D61" s="192"/>
      <c r="E61" s="192"/>
      <c r="F61" s="192"/>
      <c r="G61" s="206"/>
    </row>
    <row r="62" spans="1:20" s="146" customFormat="1">
      <c r="A62" s="293" t="s">
        <v>82</v>
      </c>
      <c r="B62" s="294">
        <f t="shared" si="11"/>
        <v>1.0000000000000007E-4</v>
      </c>
      <c r="D62" s="210"/>
      <c r="E62" s="210"/>
      <c r="F62" s="210"/>
      <c r="G62" s="79"/>
      <c r="H62" s="79"/>
      <c r="I62" s="111"/>
      <c r="J62" s="111"/>
      <c r="K62" s="111"/>
      <c r="L62" s="111"/>
      <c r="M62" s="111"/>
      <c r="N62" s="111"/>
      <c r="O62" s="79"/>
    </row>
    <row r="63" spans="1:20" s="146" customFormat="1">
      <c r="D63" s="210"/>
      <c r="E63" s="210"/>
      <c r="F63" s="210"/>
      <c r="G63" s="112"/>
      <c r="H63" s="366"/>
      <c r="I63" s="139"/>
      <c r="J63" s="139"/>
      <c r="K63" s="139"/>
      <c r="L63" s="139"/>
      <c r="M63" s="139"/>
      <c r="N63" s="139"/>
      <c r="O63" s="111"/>
    </row>
    <row r="64" spans="1:20" s="146" customFormat="1">
      <c r="D64" s="210"/>
      <c r="E64" s="210"/>
      <c r="F64" s="210"/>
      <c r="G64" s="112"/>
      <c r="H64" s="366"/>
      <c r="I64" s="139"/>
      <c r="J64" s="139"/>
      <c r="K64" s="139"/>
      <c r="L64" s="139"/>
      <c r="M64" s="139"/>
      <c r="N64" s="139"/>
      <c r="O64" s="111"/>
    </row>
    <row r="65" spans="1:19" s="146" customFormat="1">
      <c r="D65" s="211"/>
      <c r="E65" s="211"/>
      <c r="F65" s="211"/>
      <c r="G65" s="112"/>
      <c r="H65" s="366"/>
      <c r="I65" s="139"/>
      <c r="J65" s="139"/>
      <c r="K65" s="139"/>
      <c r="L65" s="139"/>
      <c r="M65" s="139"/>
      <c r="N65" s="139"/>
      <c r="O65" s="111"/>
    </row>
    <row r="66" spans="1:19" s="146" customFormat="1">
      <c r="D66" s="211"/>
      <c r="E66" s="211"/>
      <c r="F66" s="211"/>
      <c r="G66" s="112"/>
      <c r="H66" s="366"/>
      <c r="I66" s="139"/>
      <c r="J66" s="139"/>
      <c r="K66" s="139"/>
      <c r="L66" s="139"/>
      <c r="M66" s="139"/>
      <c r="N66" s="139"/>
      <c r="O66" s="111"/>
      <c r="S66" s="140">
        <f>N63</f>
        <v>0</v>
      </c>
    </row>
    <row r="67" spans="1:19" s="146" customFormat="1">
      <c r="D67" s="211"/>
      <c r="E67" s="211"/>
      <c r="F67" s="211"/>
      <c r="G67" s="112"/>
      <c r="H67" s="366"/>
      <c r="I67" s="139"/>
      <c r="J67" s="139"/>
      <c r="K67" s="139"/>
      <c r="L67" s="139"/>
      <c r="M67" s="139"/>
      <c r="N67" s="139"/>
      <c r="O67" s="111"/>
    </row>
    <row r="68" spans="1:19" s="146" customFormat="1">
      <c r="D68" s="205"/>
      <c r="E68" s="205"/>
      <c r="F68" s="205"/>
      <c r="G68" s="112"/>
      <c r="H68" s="366"/>
      <c r="I68" s="139"/>
      <c r="J68" s="139"/>
      <c r="K68" s="139"/>
      <c r="L68" s="139"/>
      <c r="M68" s="139"/>
      <c r="N68" s="139"/>
      <c r="O68" s="111"/>
    </row>
    <row r="69" spans="1:19" s="146" customFormat="1">
      <c r="D69" s="79"/>
      <c r="E69" s="79"/>
      <c r="F69" s="79"/>
      <c r="G69" s="112"/>
      <c r="H69" s="187"/>
      <c r="I69" s="214"/>
      <c r="J69" s="214"/>
      <c r="K69" s="214"/>
      <c r="L69" s="214"/>
      <c r="M69" s="214"/>
      <c r="N69" s="214"/>
      <c r="O69" s="111"/>
    </row>
    <row r="70" spans="1:19" s="146" customFormat="1">
      <c r="D70" s="79"/>
      <c r="E70" s="79"/>
      <c r="F70" s="79"/>
      <c r="G70" s="112"/>
      <c r="H70" s="187"/>
      <c r="I70" s="214"/>
      <c r="J70" s="214"/>
      <c r="K70" s="214"/>
      <c r="L70" s="214"/>
      <c r="M70" s="214"/>
      <c r="N70" s="214"/>
      <c r="O70" s="111"/>
    </row>
    <row r="71" spans="1:19" s="146" customFormat="1">
      <c r="D71" s="79"/>
      <c r="E71" s="79"/>
      <c r="F71" s="79"/>
      <c r="G71" s="112"/>
      <c r="H71" s="187"/>
      <c r="I71" s="214"/>
      <c r="J71" s="214"/>
      <c r="K71" s="214"/>
      <c r="L71" s="214"/>
      <c r="M71" s="214"/>
      <c r="N71" s="214"/>
      <c r="O71" s="111"/>
    </row>
    <row r="72" spans="1:19" s="146" customFormat="1">
      <c r="D72" s="79"/>
      <c r="E72" s="79"/>
      <c r="F72" s="79"/>
      <c r="G72" s="112"/>
      <c r="H72" s="187"/>
      <c r="I72" s="214"/>
      <c r="J72" s="214"/>
      <c r="K72" s="214"/>
      <c r="L72" s="214"/>
      <c r="M72" s="214"/>
      <c r="N72" s="214"/>
      <c r="O72" s="111"/>
    </row>
    <row r="73" spans="1:19" s="146" customFormat="1">
      <c r="D73" s="79"/>
      <c r="E73" s="79"/>
      <c r="F73" s="79"/>
      <c r="G73" s="112"/>
      <c r="H73" s="187"/>
      <c r="I73" s="214"/>
      <c r="J73" s="214"/>
      <c r="K73" s="214"/>
      <c r="L73" s="214"/>
      <c r="M73" s="214"/>
      <c r="N73" s="214"/>
      <c r="O73" s="111"/>
    </row>
    <row r="74" spans="1:19" s="146" customFormat="1">
      <c r="D74" s="79"/>
      <c r="E74" s="79"/>
      <c r="F74" s="79"/>
      <c r="G74" s="112"/>
      <c r="H74" s="187"/>
      <c r="I74" s="214"/>
      <c r="J74" s="214"/>
      <c r="K74" s="214"/>
      <c r="L74" s="214"/>
      <c r="M74" s="214"/>
      <c r="N74" s="214"/>
      <c r="O74" s="111"/>
    </row>
    <row r="75" spans="1:19" s="146" customFormat="1">
      <c r="D75" s="79"/>
      <c r="E75" s="79"/>
      <c r="F75" s="79"/>
      <c r="G75" s="112"/>
      <c r="H75" s="187"/>
      <c r="I75" s="214"/>
      <c r="J75" s="214"/>
      <c r="K75" s="214"/>
      <c r="L75" s="214"/>
      <c r="M75" s="214"/>
      <c r="N75" s="214"/>
      <c r="O75" s="111"/>
    </row>
    <row r="76" spans="1:19" s="146" customFormat="1">
      <c r="D76" s="79"/>
      <c r="E76" s="79"/>
      <c r="F76" s="79"/>
      <c r="G76" s="112"/>
      <c r="H76" s="187"/>
      <c r="I76" s="214"/>
      <c r="J76" s="214"/>
      <c r="K76" s="214"/>
      <c r="L76" s="214"/>
      <c r="M76" s="214"/>
      <c r="N76" s="214"/>
      <c r="O76" s="111"/>
    </row>
    <row r="77" spans="1:19" s="146" customFormat="1">
      <c r="A77" s="109"/>
      <c r="B77" s="201"/>
      <c r="G77" s="112"/>
      <c r="H77" s="187"/>
      <c r="I77" s="214"/>
      <c r="J77" s="214"/>
      <c r="K77" s="214"/>
      <c r="L77" s="214"/>
      <c r="M77" s="214"/>
      <c r="N77" s="214"/>
      <c r="O77" s="111"/>
    </row>
    <row r="78" spans="1:19" s="146" customFormat="1">
      <c r="A78" s="109"/>
      <c r="B78" s="201"/>
      <c r="G78" s="112"/>
      <c r="H78" s="187"/>
      <c r="I78" s="214"/>
      <c r="J78" s="214"/>
      <c r="K78" s="214"/>
      <c r="L78" s="214"/>
      <c r="M78" s="214"/>
      <c r="N78" s="214"/>
      <c r="O78" s="111"/>
    </row>
    <row r="79" spans="1:19" s="146" customFormat="1">
      <c r="A79" s="109"/>
      <c r="B79" s="201"/>
      <c r="G79" s="112"/>
      <c r="H79" s="187"/>
      <c r="I79" s="214"/>
      <c r="J79" s="214"/>
      <c r="K79" s="214"/>
      <c r="L79" s="214"/>
      <c r="M79" s="214"/>
      <c r="N79" s="214"/>
      <c r="O79" s="111"/>
    </row>
    <row r="80" spans="1:19" s="146" customFormat="1">
      <c r="A80" s="109"/>
      <c r="B80" s="201"/>
      <c r="G80" s="112"/>
      <c r="H80" s="187"/>
      <c r="I80" s="214"/>
      <c r="J80" s="214"/>
      <c r="K80" s="214"/>
      <c r="L80" s="214"/>
      <c r="M80" s="214"/>
      <c r="N80" s="214"/>
      <c r="O80" s="111"/>
    </row>
    <row r="81" spans="1:19" s="146" customFormat="1">
      <c r="A81" s="109"/>
      <c r="B81" s="201"/>
      <c r="G81" s="112"/>
      <c r="H81" s="187"/>
      <c r="I81" s="214"/>
      <c r="J81" s="214"/>
      <c r="K81" s="214"/>
      <c r="L81" s="214"/>
      <c r="M81" s="214"/>
      <c r="N81" s="214"/>
      <c r="O81" s="111"/>
    </row>
    <row r="82" spans="1:19" s="146" customFormat="1">
      <c r="A82" s="109"/>
      <c r="B82" s="201"/>
      <c r="G82" s="112"/>
      <c r="H82" s="187"/>
      <c r="I82" s="214"/>
      <c r="J82" s="214"/>
      <c r="K82" s="214"/>
      <c r="L82" s="214"/>
      <c r="M82" s="214"/>
      <c r="N82" s="214"/>
      <c r="O82" s="111"/>
    </row>
    <row r="83" spans="1:19" s="146" customFormat="1">
      <c r="A83" s="109"/>
      <c r="B83" s="201"/>
      <c r="G83" s="112"/>
      <c r="H83" s="187"/>
      <c r="I83" s="214"/>
      <c r="J83" s="214"/>
      <c r="K83" s="214"/>
      <c r="L83" s="214"/>
      <c r="M83" s="214"/>
      <c r="N83" s="214"/>
      <c r="O83" s="111"/>
    </row>
    <row r="84" spans="1:19" s="146" customFormat="1">
      <c r="A84" s="109"/>
      <c r="B84" s="201"/>
      <c r="G84" s="112"/>
      <c r="H84" s="187"/>
      <c r="I84" s="214"/>
      <c r="J84" s="214"/>
      <c r="K84" s="214"/>
      <c r="L84" s="214"/>
      <c r="M84" s="214"/>
      <c r="N84" s="214"/>
      <c r="O84" s="111"/>
    </row>
    <row r="85" spans="1:19" s="146" customFormat="1">
      <c r="A85" s="109"/>
      <c r="B85" s="201"/>
      <c r="G85" s="112"/>
      <c r="H85" s="187"/>
      <c r="I85" s="214"/>
      <c r="J85" s="214"/>
      <c r="K85" s="214"/>
      <c r="L85" s="214"/>
      <c r="M85" s="214"/>
      <c r="N85" s="214"/>
      <c r="O85" s="111"/>
    </row>
    <row r="86" spans="1:19" s="146" customFormat="1">
      <c r="A86" s="109"/>
      <c r="B86" s="201"/>
      <c r="G86" s="112"/>
      <c r="H86" s="187"/>
      <c r="I86" s="214"/>
      <c r="J86" s="214"/>
      <c r="K86" s="214"/>
      <c r="L86" s="214"/>
      <c r="M86" s="214"/>
      <c r="N86" s="214"/>
      <c r="O86" s="111"/>
    </row>
    <row r="87" spans="1:19" s="146" customFormat="1">
      <c r="A87" s="109"/>
      <c r="B87" s="201"/>
      <c r="G87" s="112"/>
      <c r="H87" s="187"/>
      <c r="I87" s="214"/>
      <c r="J87" s="214"/>
      <c r="K87" s="214"/>
      <c r="L87" s="214"/>
      <c r="M87" s="214"/>
      <c r="N87" s="214"/>
      <c r="O87" s="111"/>
    </row>
    <row r="88" spans="1:19" s="146" customFormat="1">
      <c r="A88" s="109"/>
      <c r="B88" s="201"/>
      <c r="G88" s="112"/>
      <c r="H88" s="187"/>
      <c r="I88" s="214"/>
      <c r="J88" s="214"/>
      <c r="K88" s="214"/>
      <c r="L88" s="214"/>
      <c r="M88" s="214"/>
      <c r="N88" s="214"/>
      <c r="O88" s="111"/>
    </row>
    <row r="89" spans="1:19" s="146" customFormat="1">
      <c r="A89" s="109"/>
      <c r="B89" s="201"/>
      <c r="G89" s="112"/>
      <c r="H89" s="187"/>
      <c r="I89" s="214"/>
      <c r="J89" s="214"/>
      <c r="K89" s="214"/>
      <c r="L89" s="214"/>
      <c r="M89" s="214"/>
      <c r="N89" s="214"/>
      <c r="O89" s="111"/>
    </row>
    <row r="90" spans="1:19" s="146" customFormat="1">
      <c r="A90" s="109"/>
      <c r="B90" s="201"/>
    </row>
    <row r="91" spans="1:19" s="146" customFormat="1">
      <c r="A91" s="109"/>
      <c r="B91" s="201"/>
    </row>
    <row r="92" spans="1:19">
      <c r="A92" s="109"/>
      <c r="B92" s="201"/>
      <c r="C92" s="146"/>
      <c r="D92" s="146"/>
      <c r="E92" s="146"/>
      <c r="F92" s="146"/>
    </row>
    <row r="93" spans="1:19">
      <c r="A93" s="109"/>
      <c r="B93" s="201"/>
      <c r="C93" s="146"/>
      <c r="D93" s="146"/>
      <c r="E93" s="146"/>
      <c r="F93" s="146"/>
      <c r="G93" s="215" t="s">
        <v>246</v>
      </c>
    </row>
    <row r="94" spans="1:19">
      <c r="A94" s="109"/>
      <c r="B94" s="201"/>
      <c r="C94" s="146"/>
      <c r="D94" s="146"/>
      <c r="E94" s="146"/>
      <c r="F94" s="146"/>
      <c r="G94" s="203"/>
      <c r="H94" s="141" t="s">
        <v>247</v>
      </c>
    </row>
    <row r="95" spans="1:19">
      <c r="A95" s="109"/>
      <c r="B95" s="201"/>
      <c r="C95" s="146"/>
      <c r="D95" s="146"/>
      <c r="E95" s="146"/>
      <c r="F95" s="146"/>
      <c r="G95" s="141" t="s">
        <v>245</v>
      </c>
      <c r="H95" s="79">
        <f t="shared" ref="H95:S95" si="12">H47/ABS(H32+0.000001)</f>
        <v>9.9999998000000053E-5</v>
      </c>
      <c r="I95" s="79">
        <f t="shared" si="12"/>
        <v>9.9999998000000053E-5</v>
      </c>
      <c r="J95" s="79">
        <f t="shared" si="12"/>
        <v>1.0000000200000004E-4</v>
      </c>
      <c r="K95" s="79">
        <f t="shared" si="12"/>
        <v>1.0000000200000004E-4</v>
      </c>
      <c r="L95" s="79">
        <f t="shared" si="12"/>
        <v>0</v>
      </c>
      <c r="M95" s="79">
        <f t="shared" si="12"/>
        <v>0</v>
      </c>
      <c r="N95" s="79">
        <f t="shared" si="12"/>
        <v>0</v>
      </c>
      <c r="O95" s="79">
        <f t="shared" si="12"/>
        <v>0</v>
      </c>
      <c r="P95" s="79">
        <f t="shared" si="12"/>
        <v>0</v>
      </c>
      <c r="Q95" s="79">
        <f t="shared" si="12"/>
        <v>0</v>
      </c>
      <c r="R95" s="79">
        <f t="shared" si="12"/>
        <v>0</v>
      </c>
      <c r="S95" s="79">
        <f t="shared" si="12"/>
        <v>0</v>
      </c>
    </row>
    <row r="96" spans="1:19">
      <c r="A96" s="109"/>
      <c r="B96" s="201"/>
      <c r="C96" s="146"/>
      <c r="D96" s="146"/>
      <c r="E96" s="146"/>
      <c r="F96" s="146"/>
      <c r="G96" s="141" t="s">
        <v>245</v>
      </c>
      <c r="H96" s="79">
        <f t="shared" ref="H96:S96" si="13">H48/ABS(H31+0.000001)</f>
        <v>5000</v>
      </c>
      <c r="I96" s="79">
        <f t="shared" si="13"/>
        <v>5000</v>
      </c>
      <c r="J96" s="79">
        <f t="shared" si="13"/>
        <v>5000</v>
      </c>
      <c r="K96" s="79">
        <f t="shared" si="13"/>
        <v>5000</v>
      </c>
      <c r="L96" s="79">
        <f t="shared" si="13"/>
        <v>0</v>
      </c>
      <c r="M96" s="79">
        <f t="shared" si="13"/>
        <v>0</v>
      </c>
      <c r="N96" s="79">
        <f t="shared" si="13"/>
        <v>0</v>
      </c>
      <c r="O96" s="79">
        <f t="shared" si="13"/>
        <v>0</v>
      </c>
      <c r="P96" s="79">
        <f t="shared" si="13"/>
        <v>0</v>
      </c>
      <c r="Q96" s="79">
        <f t="shared" si="13"/>
        <v>0</v>
      </c>
      <c r="R96" s="79">
        <f t="shared" si="13"/>
        <v>0</v>
      </c>
      <c r="S96" s="79">
        <f t="shared" si="13"/>
        <v>0</v>
      </c>
    </row>
    <row r="97" spans="1:19">
      <c r="A97" s="109"/>
      <c r="B97" s="201"/>
      <c r="C97" s="146"/>
      <c r="D97" s="146"/>
      <c r="E97" s="146"/>
      <c r="F97" s="146"/>
      <c r="G97" s="79" t="s">
        <v>243</v>
      </c>
      <c r="H97" s="216">
        <f>IF(MIN(H95,H96)&gt;1,0,MIN(H95,H96))</f>
        <v>9.9999998000000053E-5</v>
      </c>
      <c r="I97" s="216">
        <f t="shared" ref="I97:S97" si="14">IF(MIN(I95,I96)&gt;1,0,MIN(I95,I96))</f>
        <v>9.9999998000000053E-5</v>
      </c>
      <c r="J97" s="216">
        <f t="shared" si="14"/>
        <v>1.0000000200000004E-4</v>
      </c>
      <c r="K97" s="216">
        <f t="shared" si="14"/>
        <v>1.0000000200000004E-4</v>
      </c>
      <c r="L97" s="216">
        <f t="shared" si="14"/>
        <v>0</v>
      </c>
      <c r="M97" s="216">
        <f t="shared" si="14"/>
        <v>0</v>
      </c>
      <c r="N97" s="216">
        <f t="shared" si="14"/>
        <v>0</v>
      </c>
      <c r="O97" s="216">
        <f t="shared" si="14"/>
        <v>0</v>
      </c>
      <c r="P97" s="216">
        <f t="shared" si="14"/>
        <v>0</v>
      </c>
      <c r="Q97" s="216">
        <f t="shared" si="14"/>
        <v>0</v>
      </c>
      <c r="R97" s="216">
        <f t="shared" si="14"/>
        <v>0</v>
      </c>
      <c r="S97" s="216">
        <f t="shared" si="14"/>
        <v>0</v>
      </c>
    </row>
    <row r="98" spans="1:19">
      <c r="A98" s="109"/>
      <c r="B98" s="201"/>
      <c r="C98" s="146"/>
      <c r="D98" s="146"/>
      <c r="E98" s="146"/>
      <c r="F98" s="146"/>
      <c r="H98" s="141" t="s">
        <v>248</v>
      </c>
      <c r="I98" s="141"/>
      <c r="J98" s="141"/>
      <c r="K98" s="141"/>
      <c r="L98" s="141"/>
      <c r="M98" s="141"/>
      <c r="N98" s="141"/>
      <c r="O98" s="141"/>
      <c r="P98" s="141"/>
      <c r="Q98" s="141"/>
      <c r="R98" s="141"/>
      <c r="S98" s="141"/>
    </row>
    <row r="99" spans="1:19">
      <c r="A99" s="109"/>
      <c r="B99" s="201"/>
      <c r="C99" s="146"/>
      <c r="D99" s="146"/>
      <c r="E99" s="146"/>
      <c r="F99" s="146"/>
      <c r="G99" s="108" t="s">
        <v>245</v>
      </c>
      <c r="H99" s="146">
        <f t="shared" ref="H99:S99" si="15">H48/ABS(H30+0.000001)</f>
        <v>9.9999998000000053E-5</v>
      </c>
      <c r="I99" s="146">
        <f t="shared" si="15"/>
        <v>1.0000000200000004E-4</v>
      </c>
      <c r="J99" s="146">
        <f t="shared" si="15"/>
        <v>1.0000000200000004E-4</v>
      </c>
      <c r="K99" s="146">
        <f t="shared" si="15"/>
        <v>9.9999998000000053E-5</v>
      </c>
      <c r="L99" s="146">
        <f t="shared" si="15"/>
        <v>0</v>
      </c>
      <c r="M99" s="146">
        <f t="shared" si="15"/>
        <v>0</v>
      </c>
      <c r="N99" s="146">
        <f t="shared" si="15"/>
        <v>0</v>
      </c>
      <c r="O99" s="146">
        <f t="shared" si="15"/>
        <v>0</v>
      </c>
      <c r="P99" s="146">
        <f t="shared" si="15"/>
        <v>0</v>
      </c>
      <c r="Q99" s="146">
        <f t="shared" si="15"/>
        <v>0</v>
      </c>
      <c r="R99" s="146">
        <f t="shared" si="15"/>
        <v>0</v>
      </c>
      <c r="S99" s="146">
        <f t="shared" si="15"/>
        <v>0</v>
      </c>
    </row>
    <row r="100" spans="1:19">
      <c r="A100" s="109"/>
      <c r="B100" s="201"/>
      <c r="C100" s="146"/>
      <c r="D100" s="146"/>
      <c r="E100" s="146"/>
      <c r="F100" s="146"/>
      <c r="G100" s="108" t="s">
        <v>245</v>
      </c>
      <c r="H100" s="217">
        <f t="shared" ref="H100:S100" si="16">H46/ABS(H32+0.000001)</f>
        <v>9.9999998000000053E-5</v>
      </c>
      <c r="I100" s="217">
        <f t="shared" si="16"/>
        <v>9.9999998000000053E-5</v>
      </c>
      <c r="J100" s="217">
        <f t="shared" si="16"/>
        <v>1.0000000200000004E-4</v>
      </c>
      <c r="K100" s="217">
        <f t="shared" si="16"/>
        <v>1.0000000200000004E-4</v>
      </c>
      <c r="L100" s="217">
        <f t="shared" si="16"/>
        <v>0</v>
      </c>
      <c r="M100" s="217">
        <f t="shared" si="16"/>
        <v>0</v>
      </c>
      <c r="N100" s="217">
        <f t="shared" si="16"/>
        <v>0</v>
      </c>
      <c r="O100" s="217">
        <f t="shared" si="16"/>
        <v>0</v>
      </c>
      <c r="P100" s="217">
        <f t="shared" si="16"/>
        <v>0</v>
      </c>
      <c r="Q100" s="217">
        <f t="shared" si="16"/>
        <v>0</v>
      </c>
      <c r="R100" s="217">
        <f t="shared" si="16"/>
        <v>0</v>
      </c>
      <c r="S100" s="217">
        <f t="shared" si="16"/>
        <v>0</v>
      </c>
    </row>
    <row r="101" spans="1:19">
      <c r="A101" s="109"/>
      <c r="B101" s="201"/>
      <c r="C101" s="146"/>
      <c r="D101" s="146"/>
      <c r="E101" s="146"/>
      <c r="F101" s="146"/>
      <c r="G101" s="79" t="s">
        <v>243</v>
      </c>
      <c r="H101" s="216">
        <f>IF(MIN(H99,H100)&gt;1,0,MIN(H99,H100))</f>
        <v>9.9999998000000053E-5</v>
      </c>
      <c r="I101" s="216">
        <f t="shared" ref="I101:S101" si="17">IF(MIN(I99,I100)&gt;1,0,MIN(I99,I100))</f>
        <v>9.9999998000000053E-5</v>
      </c>
      <c r="J101" s="216">
        <f t="shared" si="17"/>
        <v>1.0000000200000004E-4</v>
      </c>
      <c r="K101" s="216">
        <f t="shared" si="17"/>
        <v>9.9999998000000053E-5</v>
      </c>
      <c r="L101" s="216">
        <f t="shared" si="17"/>
        <v>0</v>
      </c>
      <c r="M101" s="216">
        <f t="shared" si="17"/>
        <v>0</v>
      </c>
      <c r="N101" s="216">
        <f t="shared" si="17"/>
        <v>0</v>
      </c>
      <c r="O101" s="216">
        <f t="shared" si="17"/>
        <v>0</v>
      </c>
      <c r="P101" s="216">
        <f t="shared" si="17"/>
        <v>0</v>
      </c>
      <c r="Q101" s="216">
        <f t="shared" si="17"/>
        <v>0</v>
      </c>
      <c r="R101" s="216">
        <f t="shared" si="17"/>
        <v>0</v>
      </c>
      <c r="S101" s="216">
        <f t="shared" si="17"/>
        <v>0</v>
      </c>
    </row>
    <row r="102" spans="1:19">
      <c r="A102" s="109"/>
      <c r="B102" s="201"/>
      <c r="C102" s="146"/>
      <c r="D102" s="146"/>
      <c r="E102" s="146"/>
      <c r="F102" s="146"/>
      <c r="H102" s="79" t="s">
        <v>249</v>
      </c>
    </row>
    <row r="103" spans="1:19">
      <c r="A103" s="109"/>
      <c r="B103" s="201"/>
      <c r="C103" s="146"/>
      <c r="D103" s="146"/>
      <c r="E103" s="146"/>
      <c r="F103" s="146"/>
      <c r="G103" s="141" t="s">
        <v>245</v>
      </c>
      <c r="H103" s="79">
        <f t="shared" ref="H103:S103" si="18">H47/ABS(H30+0.000001)</f>
        <v>9.9999998000000053E-5</v>
      </c>
      <c r="I103" s="79">
        <f t="shared" si="18"/>
        <v>1.0000000200000004E-4</v>
      </c>
      <c r="J103" s="79">
        <f t="shared" si="18"/>
        <v>1.0000000200000004E-4</v>
      </c>
      <c r="K103" s="79">
        <f t="shared" si="18"/>
        <v>9.9999998000000053E-5</v>
      </c>
      <c r="L103" s="79">
        <f t="shared" si="18"/>
        <v>0</v>
      </c>
      <c r="M103" s="79">
        <f t="shared" si="18"/>
        <v>0</v>
      </c>
      <c r="N103" s="79">
        <f t="shared" si="18"/>
        <v>0</v>
      </c>
      <c r="O103" s="79">
        <f t="shared" si="18"/>
        <v>0</v>
      </c>
      <c r="P103" s="79">
        <f t="shared" si="18"/>
        <v>0</v>
      </c>
      <c r="Q103" s="79">
        <f t="shared" si="18"/>
        <v>0</v>
      </c>
      <c r="R103" s="79">
        <f t="shared" si="18"/>
        <v>0</v>
      </c>
      <c r="S103" s="79">
        <f t="shared" si="18"/>
        <v>0</v>
      </c>
    </row>
    <row r="104" spans="1:19">
      <c r="A104" s="109"/>
      <c r="B104" s="201"/>
      <c r="C104" s="146"/>
      <c r="D104" s="146"/>
      <c r="E104" s="146"/>
      <c r="F104" s="146"/>
      <c r="G104" s="141" t="s">
        <v>245</v>
      </c>
      <c r="H104" s="79">
        <f t="shared" ref="H104:S104" si="19">H46/ABS(H31+0.000001)</f>
        <v>5000</v>
      </c>
      <c r="I104" s="79">
        <f t="shared" si="19"/>
        <v>5000</v>
      </c>
      <c r="J104" s="79">
        <f t="shared" si="19"/>
        <v>5000</v>
      </c>
      <c r="K104" s="79">
        <f t="shared" si="19"/>
        <v>5000</v>
      </c>
      <c r="L104" s="79">
        <f t="shared" si="19"/>
        <v>0</v>
      </c>
      <c r="M104" s="79">
        <f t="shared" si="19"/>
        <v>0</v>
      </c>
      <c r="N104" s="79">
        <f t="shared" si="19"/>
        <v>0</v>
      </c>
      <c r="O104" s="79">
        <f t="shared" si="19"/>
        <v>0</v>
      </c>
      <c r="P104" s="79">
        <f t="shared" si="19"/>
        <v>0</v>
      </c>
      <c r="Q104" s="79">
        <f t="shared" si="19"/>
        <v>0</v>
      </c>
      <c r="R104" s="79">
        <f t="shared" si="19"/>
        <v>0</v>
      </c>
      <c r="S104" s="79">
        <f t="shared" si="19"/>
        <v>0</v>
      </c>
    </row>
    <row r="105" spans="1:19">
      <c r="A105" s="109"/>
      <c r="B105" s="201"/>
      <c r="C105" s="146"/>
      <c r="D105" s="146"/>
      <c r="E105" s="146"/>
      <c r="F105" s="146"/>
      <c r="G105" s="79" t="s">
        <v>243</v>
      </c>
      <c r="H105" s="216">
        <f>IF(MIN(H103,H104)&gt;1,0,MIN(H103,H104))</f>
        <v>9.9999998000000053E-5</v>
      </c>
      <c r="I105" s="216">
        <f t="shared" ref="I105:S105" si="20">IF(MIN(I103,I104)&gt;1,0,MIN(I103,I104))</f>
        <v>1.0000000200000004E-4</v>
      </c>
      <c r="J105" s="216">
        <f t="shared" si="20"/>
        <v>1.0000000200000004E-4</v>
      </c>
      <c r="K105" s="216">
        <f t="shared" si="20"/>
        <v>9.9999998000000053E-5</v>
      </c>
      <c r="L105" s="216">
        <f t="shared" si="20"/>
        <v>0</v>
      </c>
      <c r="M105" s="216">
        <f t="shared" si="20"/>
        <v>0</v>
      </c>
      <c r="N105" s="216">
        <f t="shared" si="20"/>
        <v>0</v>
      </c>
      <c r="O105" s="216">
        <f t="shared" si="20"/>
        <v>0</v>
      </c>
      <c r="P105" s="216">
        <f t="shared" si="20"/>
        <v>0</v>
      </c>
      <c r="Q105" s="216">
        <f t="shared" si="20"/>
        <v>0</v>
      </c>
      <c r="R105" s="216">
        <f t="shared" si="20"/>
        <v>0</v>
      </c>
      <c r="S105" s="216">
        <f t="shared" si="20"/>
        <v>0</v>
      </c>
    </row>
    <row r="106" spans="1:19">
      <c r="A106" s="109"/>
      <c r="B106" s="201"/>
      <c r="C106" s="146"/>
      <c r="D106" s="146"/>
      <c r="E106" s="146"/>
      <c r="F106" s="146"/>
    </row>
    <row r="107" spans="1:19">
      <c r="G107" s="215" t="s">
        <v>294</v>
      </c>
      <c r="H107" s="215"/>
      <c r="I107" s="215"/>
      <c r="J107" s="215"/>
      <c r="K107" s="215"/>
      <c r="L107" s="215"/>
      <c r="M107" s="215"/>
      <c r="N107" s="215"/>
      <c r="O107" s="215"/>
      <c r="P107" s="215"/>
    </row>
    <row r="108" spans="1:19">
      <c r="H108" s="96" t="s">
        <v>240</v>
      </c>
      <c r="I108" s="96"/>
      <c r="J108" s="96"/>
      <c r="K108" s="96"/>
      <c r="L108" s="96"/>
      <c r="M108" s="96"/>
      <c r="N108" s="96"/>
      <c r="O108" s="96"/>
      <c r="P108" s="96"/>
      <c r="Q108" s="96"/>
      <c r="R108" s="96"/>
      <c r="S108" s="96"/>
    </row>
    <row r="109" spans="1:19">
      <c r="G109" s="141" t="s">
        <v>245</v>
      </c>
      <c r="H109" s="216">
        <f t="shared" ref="H109:S109" si="21">H55/(H32+0.000001)</f>
        <v>0</v>
      </c>
      <c r="I109" s="216">
        <f t="shared" si="21"/>
        <v>0</v>
      </c>
      <c r="J109" s="216">
        <f t="shared" si="21"/>
        <v>0</v>
      </c>
      <c r="K109" s="216">
        <f t="shared" si="21"/>
        <v>0</v>
      </c>
      <c r="L109" s="216">
        <f t="shared" si="21"/>
        <v>0</v>
      </c>
      <c r="M109" s="216">
        <f t="shared" si="21"/>
        <v>0</v>
      </c>
      <c r="N109" s="216">
        <f t="shared" si="21"/>
        <v>0</v>
      </c>
      <c r="O109" s="216">
        <f t="shared" si="21"/>
        <v>0</v>
      </c>
      <c r="P109" s="216">
        <f t="shared" si="21"/>
        <v>0</v>
      </c>
      <c r="Q109" s="216">
        <f t="shared" si="21"/>
        <v>0</v>
      </c>
      <c r="R109" s="216">
        <f t="shared" si="21"/>
        <v>0</v>
      </c>
      <c r="S109" s="216">
        <f t="shared" si="21"/>
        <v>0</v>
      </c>
    </row>
    <row r="110" spans="1:19">
      <c r="G110" s="141" t="s">
        <v>245</v>
      </c>
      <c r="H110" s="218">
        <f t="shared" ref="H110:S110" si="22">H56/(H31+0.000001)</f>
        <v>0</v>
      </c>
      <c r="I110" s="218">
        <f t="shared" si="22"/>
        <v>0</v>
      </c>
      <c r="J110" s="218">
        <f t="shared" si="22"/>
        <v>0</v>
      </c>
      <c r="K110" s="218">
        <f t="shared" si="22"/>
        <v>0</v>
      </c>
      <c r="L110" s="218">
        <f t="shared" si="22"/>
        <v>0</v>
      </c>
      <c r="M110" s="218">
        <f t="shared" si="22"/>
        <v>0</v>
      </c>
      <c r="N110" s="218">
        <f t="shared" si="22"/>
        <v>0</v>
      </c>
      <c r="O110" s="218">
        <f t="shared" si="22"/>
        <v>0</v>
      </c>
      <c r="P110" s="218">
        <f t="shared" si="22"/>
        <v>0</v>
      </c>
      <c r="Q110" s="218">
        <f t="shared" si="22"/>
        <v>0</v>
      </c>
      <c r="R110" s="218">
        <f t="shared" si="22"/>
        <v>0</v>
      </c>
      <c r="S110" s="218">
        <f t="shared" si="22"/>
        <v>0</v>
      </c>
    </row>
    <row r="111" spans="1:19">
      <c r="G111" s="79" t="s">
        <v>244</v>
      </c>
      <c r="H111" s="136">
        <f>SIGN(H109+0.000000000001)*SIGN(H110+0.000000000001)</f>
        <v>1</v>
      </c>
      <c r="I111" s="136">
        <f t="shared" ref="I111:S111" si="23">SIGN(I109+0.000000000001)*SIGN(I110+0.000000000001)</f>
        <v>1</v>
      </c>
      <c r="J111" s="136">
        <f t="shared" si="23"/>
        <v>1</v>
      </c>
      <c r="K111" s="136">
        <f t="shared" si="23"/>
        <v>1</v>
      </c>
      <c r="L111" s="136">
        <f t="shared" si="23"/>
        <v>1</v>
      </c>
      <c r="M111" s="136">
        <f t="shared" si="23"/>
        <v>1</v>
      </c>
      <c r="N111" s="136">
        <f t="shared" si="23"/>
        <v>1</v>
      </c>
      <c r="O111" s="136">
        <f t="shared" si="23"/>
        <v>1</v>
      </c>
      <c r="P111" s="136">
        <f t="shared" si="23"/>
        <v>1</v>
      </c>
      <c r="Q111" s="136">
        <f t="shared" si="23"/>
        <v>1</v>
      </c>
      <c r="R111" s="136">
        <f t="shared" si="23"/>
        <v>1</v>
      </c>
      <c r="S111" s="136">
        <f t="shared" si="23"/>
        <v>1</v>
      </c>
    </row>
    <row r="112" spans="1:19">
      <c r="G112" s="79" t="s">
        <v>243</v>
      </c>
      <c r="H112" s="216">
        <f>IF(H111*MIN(ABS(H109),ABS(H110))&gt;1,0,H111*MIN(ABS(H109),ABS(H110)))</f>
        <v>0</v>
      </c>
      <c r="I112" s="216">
        <f t="shared" ref="I112:S112" si="24">IF(I111*MIN(ABS(I109),ABS(I110))&gt;1,0,I111*MIN(ABS(I109),ABS(I110)))</f>
        <v>0</v>
      </c>
      <c r="J112" s="216">
        <f t="shared" si="24"/>
        <v>0</v>
      </c>
      <c r="K112" s="216">
        <f t="shared" si="24"/>
        <v>0</v>
      </c>
      <c r="L112" s="216">
        <f t="shared" si="24"/>
        <v>0</v>
      </c>
      <c r="M112" s="216">
        <f t="shared" si="24"/>
        <v>0</v>
      </c>
      <c r="N112" s="216">
        <f t="shared" si="24"/>
        <v>0</v>
      </c>
      <c r="O112" s="216">
        <f t="shared" si="24"/>
        <v>0</v>
      </c>
      <c r="P112" s="216">
        <f t="shared" si="24"/>
        <v>0</v>
      </c>
      <c r="Q112" s="216">
        <f t="shared" si="24"/>
        <v>0</v>
      </c>
      <c r="R112" s="216">
        <f t="shared" si="24"/>
        <v>0</v>
      </c>
      <c r="S112" s="216">
        <f t="shared" si="24"/>
        <v>0</v>
      </c>
    </row>
    <row r="113" spans="7:19">
      <c r="H113" s="96" t="s">
        <v>241</v>
      </c>
      <c r="I113" s="96"/>
      <c r="J113" s="96"/>
      <c r="K113" s="96"/>
      <c r="L113" s="96"/>
      <c r="M113" s="96"/>
      <c r="N113" s="96"/>
      <c r="O113" s="96"/>
      <c r="P113" s="96"/>
      <c r="Q113" s="96"/>
      <c r="R113" s="96"/>
      <c r="S113" s="96"/>
    </row>
    <row r="114" spans="7:19">
      <c r="G114" s="108" t="s">
        <v>245</v>
      </c>
      <c r="H114" s="146">
        <f t="shared" ref="H114:S114" si="25">-H56/(H30+0.000001)</f>
        <v>0</v>
      </c>
      <c r="I114" s="146">
        <f t="shared" si="25"/>
        <v>0</v>
      </c>
      <c r="J114" s="146">
        <f t="shared" si="25"/>
        <v>0</v>
      </c>
      <c r="K114" s="146">
        <f t="shared" si="25"/>
        <v>0</v>
      </c>
      <c r="L114" s="146">
        <f t="shared" si="25"/>
        <v>0</v>
      </c>
      <c r="M114" s="146">
        <f t="shared" si="25"/>
        <v>0</v>
      </c>
      <c r="N114" s="146">
        <f t="shared" si="25"/>
        <v>0</v>
      </c>
      <c r="O114" s="146">
        <f t="shared" si="25"/>
        <v>0</v>
      </c>
      <c r="P114" s="146">
        <f t="shared" si="25"/>
        <v>0</v>
      </c>
      <c r="Q114" s="146">
        <f t="shared" si="25"/>
        <v>0</v>
      </c>
      <c r="R114" s="146">
        <f t="shared" si="25"/>
        <v>0</v>
      </c>
      <c r="S114" s="146">
        <f t="shared" si="25"/>
        <v>0</v>
      </c>
    </row>
    <row r="115" spans="7:19">
      <c r="G115" s="108" t="s">
        <v>245</v>
      </c>
      <c r="H115" s="146">
        <f t="shared" ref="H115:S115" si="26">H54/(H32+0.000001)</f>
        <v>0</v>
      </c>
      <c r="I115" s="146">
        <f t="shared" si="26"/>
        <v>0</v>
      </c>
      <c r="J115" s="146">
        <f t="shared" si="26"/>
        <v>0</v>
      </c>
      <c r="K115" s="146">
        <f t="shared" si="26"/>
        <v>0</v>
      </c>
      <c r="L115" s="146">
        <f t="shared" si="26"/>
        <v>0</v>
      </c>
      <c r="M115" s="146">
        <f t="shared" si="26"/>
        <v>0</v>
      </c>
      <c r="N115" s="146">
        <f t="shared" si="26"/>
        <v>0</v>
      </c>
      <c r="O115" s="146">
        <f t="shared" si="26"/>
        <v>0</v>
      </c>
      <c r="P115" s="146">
        <f t="shared" si="26"/>
        <v>0</v>
      </c>
      <c r="Q115" s="146">
        <f t="shared" si="26"/>
        <v>0</v>
      </c>
      <c r="R115" s="146">
        <f t="shared" si="26"/>
        <v>0</v>
      </c>
      <c r="S115" s="146">
        <f t="shared" si="26"/>
        <v>0</v>
      </c>
    </row>
    <row r="116" spans="7:19">
      <c r="G116" s="146" t="s">
        <v>244</v>
      </c>
      <c r="H116" s="219">
        <f>SIGN(H114+0.000000000001)*SIGN(H115+0.000000000001)</f>
        <v>1</v>
      </c>
      <c r="I116" s="219">
        <f t="shared" ref="I116:S116" si="27">SIGN(I114+0.000000000001)*SIGN(I115+0.000000000001)</f>
        <v>1</v>
      </c>
      <c r="J116" s="219">
        <f t="shared" si="27"/>
        <v>1</v>
      </c>
      <c r="K116" s="219">
        <f t="shared" si="27"/>
        <v>1</v>
      </c>
      <c r="L116" s="219">
        <f t="shared" si="27"/>
        <v>1</v>
      </c>
      <c r="M116" s="219">
        <f t="shared" si="27"/>
        <v>1</v>
      </c>
      <c r="N116" s="219">
        <f t="shared" si="27"/>
        <v>1</v>
      </c>
      <c r="O116" s="219">
        <f t="shared" si="27"/>
        <v>1</v>
      </c>
      <c r="P116" s="219">
        <f t="shared" si="27"/>
        <v>1</v>
      </c>
      <c r="Q116" s="219">
        <f t="shared" si="27"/>
        <v>1</v>
      </c>
      <c r="R116" s="219">
        <f t="shared" si="27"/>
        <v>1</v>
      </c>
      <c r="S116" s="219">
        <f t="shared" si="27"/>
        <v>1</v>
      </c>
    </row>
    <row r="117" spans="7:19">
      <c r="G117" s="146" t="s">
        <v>243</v>
      </c>
      <c r="H117" s="220">
        <f>IF(H116*MIN(ABS(H114),ABS(H115))&gt;1,0,H116*MIN(ABS(H114),ABS(H115)))</f>
        <v>0</v>
      </c>
      <c r="I117" s="220">
        <f t="shared" ref="I117:S117" si="28">IF(I116*MIN(ABS(I114),ABS(I115))&gt;1,0,I116*MIN(ABS(I114),ABS(I115)))</f>
        <v>0</v>
      </c>
      <c r="J117" s="220">
        <f t="shared" si="28"/>
        <v>0</v>
      </c>
      <c r="K117" s="220">
        <f t="shared" si="28"/>
        <v>0</v>
      </c>
      <c r="L117" s="220">
        <f t="shared" si="28"/>
        <v>0</v>
      </c>
      <c r="M117" s="220">
        <f t="shared" si="28"/>
        <v>0</v>
      </c>
      <c r="N117" s="220">
        <f t="shared" si="28"/>
        <v>0</v>
      </c>
      <c r="O117" s="220">
        <f t="shared" si="28"/>
        <v>0</v>
      </c>
      <c r="P117" s="220">
        <f t="shared" si="28"/>
        <v>0</v>
      </c>
      <c r="Q117" s="220">
        <f t="shared" si="28"/>
        <v>0</v>
      </c>
      <c r="R117" s="220">
        <f t="shared" si="28"/>
        <v>0</v>
      </c>
      <c r="S117" s="220">
        <f t="shared" si="28"/>
        <v>0</v>
      </c>
    </row>
    <row r="118" spans="7:19">
      <c r="H118" s="96" t="s">
        <v>242</v>
      </c>
      <c r="I118" s="96"/>
      <c r="J118" s="96"/>
      <c r="K118" s="96"/>
      <c r="L118" s="96"/>
      <c r="M118" s="96"/>
      <c r="N118" s="96"/>
      <c r="O118" s="96"/>
      <c r="P118" s="96"/>
      <c r="Q118" s="96"/>
      <c r="R118" s="96"/>
      <c r="S118" s="96"/>
    </row>
    <row r="119" spans="7:19">
      <c r="G119" s="141" t="s">
        <v>245</v>
      </c>
      <c r="H119" s="216">
        <f t="shared" ref="H119:S119" si="29">H55/(H30+0.000001)</f>
        <v>0</v>
      </c>
      <c r="I119" s="216">
        <f t="shared" si="29"/>
        <v>0</v>
      </c>
      <c r="J119" s="216">
        <f t="shared" si="29"/>
        <v>0</v>
      </c>
      <c r="K119" s="216">
        <f t="shared" si="29"/>
        <v>0</v>
      </c>
      <c r="L119" s="216">
        <f t="shared" si="29"/>
        <v>0</v>
      </c>
      <c r="M119" s="216">
        <f t="shared" si="29"/>
        <v>0</v>
      </c>
      <c r="N119" s="216">
        <f t="shared" si="29"/>
        <v>0</v>
      </c>
      <c r="O119" s="216">
        <f t="shared" si="29"/>
        <v>0</v>
      </c>
      <c r="P119" s="216">
        <f t="shared" si="29"/>
        <v>0</v>
      </c>
      <c r="Q119" s="216">
        <f t="shared" si="29"/>
        <v>0</v>
      </c>
      <c r="R119" s="216">
        <f t="shared" si="29"/>
        <v>0</v>
      </c>
      <c r="S119" s="216">
        <f t="shared" si="29"/>
        <v>0</v>
      </c>
    </row>
    <row r="120" spans="7:19">
      <c r="G120" s="141" t="s">
        <v>245</v>
      </c>
      <c r="H120" s="79">
        <f t="shared" ref="H120:S120" si="30">H54/(H31+0.000001)</f>
        <v>0</v>
      </c>
      <c r="I120" s="79">
        <f t="shared" si="30"/>
        <v>0</v>
      </c>
      <c r="J120" s="79">
        <f t="shared" si="30"/>
        <v>0</v>
      </c>
      <c r="K120" s="79">
        <f t="shared" si="30"/>
        <v>0</v>
      </c>
      <c r="L120" s="79">
        <f t="shared" si="30"/>
        <v>0</v>
      </c>
      <c r="M120" s="79">
        <f t="shared" si="30"/>
        <v>0</v>
      </c>
      <c r="N120" s="79">
        <f t="shared" si="30"/>
        <v>0</v>
      </c>
      <c r="O120" s="79">
        <f t="shared" si="30"/>
        <v>0</v>
      </c>
      <c r="P120" s="79">
        <f t="shared" si="30"/>
        <v>0</v>
      </c>
      <c r="Q120" s="79">
        <f t="shared" si="30"/>
        <v>0</v>
      </c>
      <c r="R120" s="79">
        <f t="shared" si="30"/>
        <v>0</v>
      </c>
      <c r="S120" s="79">
        <f t="shared" si="30"/>
        <v>0</v>
      </c>
    </row>
    <row r="121" spans="7:19">
      <c r="G121" s="79" t="s">
        <v>244</v>
      </c>
      <c r="H121" s="136">
        <f>SIGN(H119+0.000000000001)*SIGN(H120+0.000000000001)</f>
        <v>1</v>
      </c>
      <c r="I121" s="136">
        <f t="shared" ref="I121:S121" si="31">SIGN(I119+0.000000000001)*SIGN(I120+0.000000000001)</f>
        <v>1</v>
      </c>
      <c r="J121" s="136">
        <f t="shared" si="31"/>
        <v>1</v>
      </c>
      <c r="K121" s="136">
        <f t="shared" si="31"/>
        <v>1</v>
      </c>
      <c r="L121" s="136">
        <f t="shared" si="31"/>
        <v>1</v>
      </c>
      <c r="M121" s="136">
        <f t="shared" si="31"/>
        <v>1</v>
      </c>
      <c r="N121" s="136">
        <f t="shared" si="31"/>
        <v>1</v>
      </c>
      <c r="O121" s="136">
        <f t="shared" si="31"/>
        <v>1</v>
      </c>
      <c r="P121" s="136">
        <f t="shared" si="31"/>
        <v>1</v>
      </c>
      <c r="Q121" s="136">
        <f t="shared" si="31"/>
        <v>1</v>
      </c>
      <c r="R121" s="136">
        <f t="shared" si="31"/>
        <v>1</v>
      </c>
      <c r="S121" s="136">
        <f t="shared" si="31"/>
        <v>1</v>
      </c>
    </row>
    <row r="122" spans="7:19">
      <c r="G122" s="79" t="s">
        <v>243</v>
      </c>
      <c r="H122" s="216">
        <f>IF(H121*MIN(ABS(H119),ABS(H120))&gt;1,0,H121*MIN(ABS(H119),ABS(H120)))</f>
        <v>0</v>
      </c>
      <c r="I122" s="216">
        <f t="shared" ref="I122:S122" si="32">IF(I121*MIN(ABS(I119),ABS(I120))&gt;1,0,I121*MIN(ABS(I119),ABS(I120)))</f>
        <v>0</v>
      </c>
      <c r="J122" s="216">
        <f t="shared" si="32"/>
        <v>0</v>
      </c>
      <c r="K122" s="216">
        <f t="shared" si="32"/>
        <v>0</v>
      </c>
      <c r="L122" s="216">
        <f t="shared" si="32"/>
        <v>0</v>
      </c>
      <c r="M122" s="216">
        <f t="shared" si="32"/>
        <v>0</v>
      </c>
      <c r="N122" s="216">
        <f t="shared" si="32"/>
        <v>0</v>
      </c>
      <c r="O122" s="216">
        <f t="shared" si="32"/>
        <v>0</v>
      </c>
      <c r="P122" s="216">
        <f t="shared" si="32"/>
        <v>0</v>
      </c>
      <c r="Q122" s="216">
        <f t="shared" si="32"/>
        <v>0</v>
      </c>
      <c r="R122" s="216">
        <f t="shared" si="32"/>
        <v>0</v>
      </c>
      <c r="S122" s="216">
        <f t="shared" si="32"/>
        <v>0</v>
      </c>
    </row>
    <row r="123" spans="7:19">
      <c r="G123" s="141"/>
    </row>
    <row r="124" spans="7:19">
      <c r="H124" s="136"/>
      <c r="I124" s="136"/>
      <c r="J124" s="136"/>
      <c r="K124" s="136"/>
      <c r="L124" s="136"/>
      <c r="M124" s="136"/>
      <c r="N124" s="136"/>
      <c r="O124" s="136"/>
      <c r="P124" s="136"/>
      <c r="Q124" s="136"/>
      <c r="R124" s="136"/>
      <c r="S124" s="136"/>
    </row>
    <row r="125" spans="7:19">
      <c r="H125" s="216"/>
      <c r="I125" s="216"/>
      <c r="J125" s="216"/>
      <c r="K125" s="216"/>
      <c r="L125" s="216"/>
      <c r="M125" s="216"/>
      <c r="N125" s="216"/>
      <c r="O125" s="216"/>
      <c r="P125" s="216"/>
      <c r="Q125" s="216"/>
      <c r="R125" s="216"/>
      <c r="S125" s="216"/>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26"/>
  <sheetViews>
    <sheetView topLeftCell="A27" zoomScale="125" zoomScaleNormal="125" zoomScalePageLayoutView="75" workbookViewId="0">
      <selection activeCell="H47" sqref="H47:K49"/>
    </sheetView>
  </sheetViews>
  <sheetFormatPr baseColWidth="10" defaultColWidth="11" defaultRowHeight="16"/>
  <cols>
    <col min="1" max="1" width="45.33203125" style="79" customWidth="1"/>
    <col min="2" max="2" width="19.6640625" style="79" customWidth="1"/>
    <col min="3" max="3" width="39.83203125" style="79" customWidth="1"/>
    <col min="4" max="4" width="12" style="79" customWidth="1"/>
    <col min="5" max="6" width="7.1640625" style="79" customWidth="1"/>
    <col min="7" max="7" width="26.5" style="79" customWidth="1"/>
    <col min="8" max="8" width="13.5" style="79" customWidth="1"/>
    <col min="9" max="11" width="11" style="79"/>
    <col min="12" max="12" width="16.1640625" style="79" customWidth="1"/>
    <col min="13" max="16384" width="11" style="79"/>
  </cols>
  <sheetData>
    <row r="1" spans="1:18">
      <c r="A1" s="197" t="str">
        <f>'CSs and Loads'!A177</f>
        <v>CS 6</v>
      </c>
      <c r="B1" s="197" t="str">
        <f>'CSs and Loads'!A187</f>
        <v>Not used</v>
      </c>
    </row>
    <row r="2" spans="1:18" ht="17" thickBot="1">
      <c r="A2" s="80" t="s">
        <v>126</v>
      </c>
      <c r="E2" s="168"/>
      <c r="F2" s="168"/>
      <c r="G2" s="168"/>
      <c r="H2" s="168"/>
      <c r="I2" s="234"/>
      <c r="J2" s="168"/>
      <c r="K2" s="168"/>
      <c r="L2" s="235"/>
      <c r="M2" s="235"/>
      <c r="N2" s="199"/>
    </row>
    <row r="3" spans="1:18">
      <c r="A3" s="200" t="s">
        <v>105</v>
      </c>
      <c r="D3" s="233"/>
      <c r="E3" s="367" t="s">
        <v>358</v>
      </c>
      <c r="F3" s="368"/>
      <c r="G3" s="368"/>
      <c r="H3" s="368"/>
      <c r="I3" s="368"/>
      <c r="J3" s="368"/>
      <c r="K3" s="368"/>
      <c r="L3" s="368"/>
      <c r="M3" s="369"/>
      <c r="N3" s="175"/>
      <c r="O3" s="201"/>
      <c r="P3" s="201"/>
      <c r="Q3" s="201"/>
      <c r="R3" s="201"/>
    </row>
    <row r="4" spans="1:18">
      <c r="A4" s="80" t="s">
        <v>305</v>
      </c>
      <c r="B4" s="170" t="s">
        <v>337</v>
      </c>
      <c r="C4" s="80" t="s">
        <v>355</v>
      </c>
      <c r="D4" s="161"/>
      <c r="E4" s="375" t="s">
        <v>340</v>
      </c>
      <c r="F4" s="376"/>
      <c r="G4" s="376"/>
      <c r="H4" s="376"/>
      <c r="I4" s="376"/>
      <c r="J4" s="376"/>
      <c r="K4" s="376"/>
      <c r="L4" s="376"/>
      <c r="M4" s="377"/>
      <c r="N4" s="175"/>
      <c r="O4" s="141"/>
      <c r="R4" s="201"/>
    </row>
    <row r="5" spans="1:18">
      <c r="A5" s="107" t="s">
        <v>325</v>
      </c>
      <c r="B5" s="111" t="s">
        <v>296</v>
      </c>
      <c r="C5" s="96" t="s">
        <v>353</v>
      </c>
      <c r="D5" s="161">
        <v>25</v>
      </c>
      <c r="E5" s="176" t="s">
        <v>268</v>
      </c>
      <c r="F5" s="366" t="s">
        <v>271</v>
      </c>
      <c r="G5" s="148">
        <f>(1/2)*B11^3/(3*B7*B18)</f>
        <v>7.0459646551228115E-6</v>
      </c>
      <c r="H5" s="146">
        <v>0</v>
      </c>
      <c r="I5" s="146">
        <v>0</v>
      </c>
      <c r="J5" s="146">
        <v>0</v>
      </c>
      <c r="K5" s="147">
        <f>G9</f>
        <v>-1.5098495689548882E-8</v>
      </c>
      <c r="L5" s="146">
        <v>0</v>
      </c>
      <c r="M5" s="177" t="s">
        <v>262</v>
      </c>
      <c r="N5" s="196"/>
      <c r="O5" s="202"/>
      <c r="P5" s="202"/>
      <c r="Q5" s="202"/>
      <c r="R5" s="201"/>
    </row>
    <row r="6" spans="1:18">
      <c r="A6" s="107" t="s">
        <v>328</v>
      </c>
      <c r="B6" s="111" t="s">
        <v>272</v>
      </c>
      <c r="C6" s="96" t="s">
        <v>32</v>
      </c>
      <c r="D6" s="161">
        <f>1770*9.8</f>
        <v>17346</v>
      </c>
      <c r="E6" s="176" t="s">
        <v>269</v>
      </c>
      <c r="F6" s="366"/>
      <c r="G6" s="146">
        <v>0</v>
      </c>
      <c r="H6" s="147">
        <f>(1/2)*B11^3/(3*B7*B17)</f>
        <v>7.0459646551228115E-6</v>
      </c>
      <c r="I6" s="146">
        <v>0</v>
      </c>
      <c r="J6" s="147">
        <f>-(1/2)*B11^2/(2*B7*B17)</f>
        <v>-1.5098495689548882E-8</v>
      </c>
      <c r="K6" s="146">
        <v>0</v>
      </c>
      <c r="L6" s="146">
        <v>0</v>
      </c>
      <c r="M6" s="177" t="s">
        <v>263</v>
      </c>
      <c r="N6" s="175"/>
      <c r="R6" s="201"/>
    </row>
    <row r="7" spans="1:18">
      <c r="A7" s="96" t="s">
        <v>277</v>
      </c>
      <c r="B7" s="80">
        <f>69000</f>
        <v>69000</v>
      </c>
      <c r="C7" s="96" t="s">
        <v>230</v>
      </c>
      <c r="D7" s="161">
        <f>647*1000</f>
        <v>647000</v>
      </c>
      <c r="E7" s="176" t="s">
        <v>270</v>
      </c>
      <c r="F7" s="366"/>
      <c r="G7" s="146">
        <v>0</v>
      </c>
      <c r="H7" s="146">
        <v>0</v>
      </c>
      <c r="I7" s="147">
        <f>(1/2)*B12/(B16*B7)</f>
        <v>2.6207781884162787E-7</v>
      </c>
      <c r="J7" s="146">
        <v>0</v>
      </c>
      <c r="K7" s="146">
        <v>0</v>
      </c>
      <c r="L7" s="146">
        <v>0</v>
      </c>
      <c r="M7" s="177" t="s">
        <v>264</v>
      </c>
      <c r="N7" s="175"/>
      <c r="R7" s="201"/>
    </row>
    <row r="8" spans="1:18">
      <c r="A8" s="96" t="s">
        <v>273</v>
      </c>
      <c r="B8" s="80">
        <v>0.33400000000000002</v>
      </c>
      <c r="C8" s="96" t="s">
        <v>33</v>
      </c>
      <c r="D8" s="161">
        <v>3</v>
      </c>
      <c r="E8" s="176" t="s">
        <v>259</v>
      </c>
      <c r="F8" s="366"/>
      <c r="G8" s="140"/>
      <c r="H8" s="147">
        <f>J6</f>
        <v>-1.5098495689548882E-8</v>
      </c>
      <c r="I8" s="146">
        <v>0</v>
      </c>
      <c r="J8" s="147">
        <f>2*I7/CS_5!B12^2</f>
        <v>2.6742634575676315E-13</v>
      </c>
      <c r="K8" s="146">
        <v>0</v>
      </c>
      <c r="L8" s="146">
        <v>0</v>
      </c>
      <c r="M8" s="177" t="s">
        <v>265</v>
      </c>
      <c r="N8" s="175"/>
      <c r="R8" s="201"/>
    </row>
    <row r="9" spans="1:18">
      <c r="A9" s="96" t="s">
        <v>278</v>
      </c>
      <c r="B9" s="92">
        <f>B7/(2*(1+B8))</f>
        <v>25862.068965517239</v>
      </c>
      <c r="C9" s="96" t="s">
        <v>34</v>
      </c>
      <c r="D9" s="161">
        <v>0.01</v>
      </c>
      <c r="E9" s="176" t="s">
        <v>261</v>
      </c>
      <c r="F9" s="366"/>
      <c r="G9" s="147">
        <f>-(1/2)*B11^2/(2*B7*B18)</f>
        <v>-1.5098495689548882E-8</v>
      </c>
      <c r="H9" s="146">
        <v>0</v>
      </c>
      <c r="I9" s="146">
        <v>0</v>
      </c>
      <c r="J9" s="146">
        <v>0</v>
      </c>
      <c r="K9" s="147">
        <f>(1/2)*B11/(B7*B18)</f>
        <v>4.3138559112996808E-11</v>
      </c>
      <c r="L9" s="146">
        <v>0</v>
      </c>
      <c r="M9" s="177" t="s">
        <v>266</v>
      </c>
      <c r="N9" s="175"/>
      <c r="R9" s="201"/>
    </row>
    <row r="10" spans="1:18" ht="17" thickBot="1">
      <c r="A10" s="79" t="s">
        <v>330</v>
      </c>
      <c r="B10" s="80"/>
      <c r="C10" s="96" t="s">
        <v>274</v>
      </c>
      <c r="D10" s="229">
        <f>D6/(D8*D9)</f>
        <v>578200</v>
      </c>
      <c r="E10" s="178" t="s">
        <v>260</v>
      </c>
      <c r="F10" s="399"/>
      <c r="G10" s="185">
        <v>0</v>
      </c>
      <c r="H10" s="185">
        <v>0</v>
      </c>
      <c r="I10" s="185">
        <v>0</v>
      </c>
      <c r="J10" s="185">
        <v>0</v>
      </c>
      <c r="K10" s="185">
        <v>0</v>
      </c>
      <c r="L10" s="186">
        <f>1/(1/(2*G5/CS_5!B12^2)+1/(B11/(B19*B9)))</f>
        <v>6.8693443257030413E-12</v>
      </c>
      <c r="M10" s="180" t="s">
        <v>267</v>
      </c>
      <c r="N10" s="175"/>
      <c r="R10" s="201"/>
    </row>
    <row r="11" spans="1:18">
      <c r="A11" s="141" t="s">
        <v>335</v>
      </c>
      <c r="B11" s="133">
        <f>B12</f>
        <v>700</v>
      </c>
      <c r="C11" s="96" t="s">
        <v>35</v>
      </c>
      <c r="D11" s="80">
        <v>25</v>
      </c>
      <c r="E11" s="155"/>
      <c r="F11" s="236"/>
      <c r="G11" s="155"/>
      <c r="H11" s="155"/>
      <c r="I11" s="155"/>
      <c r="J11" s="155"/>
      <c r="K11" s="155"/>
      <c r="L11" s="155"/>
      <c r="M11" s="155"/>
      <c r="R11" s="201"/>
    </row>
    <row r="12" spans="1:18">
      <c r="A12" s="96" t="s">
        <v>221</v>
      </c>
      <c r="B12" s="80">
        <v>700</v>
      </c>
      <c r="C12" s="96" t="s">
        <v>365</v>
      </c>
      <c r="D12" s="95">
        <f>D7*D11^2/4</f>
        <v>101093750</v>
      </c>
      <c r="I12" s="80"/>
      <c r="O12" s="141"/>
      <c r="R12" s="201"/>
    </row>
    <row r="13" spans="1:18">
      <c r="A13" s="96" t="s">
        <v>346</v>
      </c>
      <c r="B13" s="80">
        <f>8*25.4</f>
        <v>203.2</v>
      </c>
      <c r="C13" s="96" t="s">
        <v>275</v>
      </c>
      <c r="D13" s="95">
        <f>D7*D11^2/12</f>
        <v>33697916.666666664</v>
      </c>
      <c r="I13" s="80"/>
      <c r="O13" s="141"/>
      <c r="R13" s="201"/>
    </row>
    <row r="14" spans="1:18">
      <c r="A14" s="96" t="s">
        <v>347</v>
      </c>
      <c r="B14" s="80">
        <f>8*25.4</f>
        <v>203.2</v>
      </c>
      <c r="C14" s="96" t="s">
        <v>276</v>
      </c>
      <c r="D14" s="92">
        <f>D13</f>
        <v>33697916.666666664</v>
      </c>
      <c r="I14" s="80"/>
      <c r="O14" s="141"/>
      <c r="R14" s="201"/>
    </row>
    <row r="15" spans="1:18">
      <c r="A15" s="96" t="s">
        <v>257</v>
      </c>
      <c r="B15" s="80">
        <f>0.5*25.4</f>
        <v>12.7</v>
      </c>
      <c r="C15" s="107" t="s">
        <v>354</v>
      </c>
      <c r="I15" s="80"/>
      <c r="O15" s="141"/>
      <c r="R15" s="201"/>
    </row>
    <row r="16" spans="1:18">
      <c r="A16" s="96" t="s">
        <v>258</v>
      </c>
      <c r="B16" s="92">
        <f>2*(B13*B14-(B13-2*B15)*(B14-2*B15))</f>
        <v>19354.80000000001</v>
      </c>
      <c r="C16" s="108" t="s">
        <v>253</v>
      </c>
      <c r="D16" s="111" t="s">
        <v>301</v>
      </c>
      <c r="I16" s="80"/>
      <c r="O16" s="141"/>
      <c r="R16" s="201"/>
    </row>
    <row r="17" spans="1:19">
      <c r="A17" s="250" t="s">
        <v>378</v>
      </c>
      <c r="B17" s="93">
        <f>2*(B14^3*B13-(B13-2*B15)*(B14-2*B15)^3)/12</f>
        <v>117585377.73200004</v>
      </c>
      <c r="C17" s="109" t="s">
        <v>255</v>
      </c>
      <c r="D17" s="80">
        <v>25</v>
      </c>
      <c r="I17" s="80"/>
      <c r="O17" s="141"/>
      <c r="R17" s="201"/>
    </row>
    <row r="18" spans="1:19">
      <c r="A18" s="250" t="s">
        <v>379</v>
      </c>
      <c r="B18" s="93">
        <f>2*(B14*B13^3-(B13-2*B15)^3*(B14-2*B15))/12</f>
        <v>117585377.73200004</v>
      </c>
      <c r="C18" s="109" t="s">
        <v>221</v>
      </c>
      <c r="D18" s="92">
        <v>100</v>
      </c>
      <c r="I18" s="80"/>
      <c r="O18" s="141"/>
      <c r="R18" s="201"/>
    </row>
    <row r="19" spans="1:19">
      <c r="A19" s="96" t="s">
        <v>223</v>
      </c>
      <c r="B19" s="93">
        <f>2*(2*B15*B15*(B13-B15)^2*(B14-B15)^2/(B13*B15+B14*B15-2*B15^2))</f>
        <v>175597632.67500001</v>
      </c>
      <c r="C19" s="96" t="s">
        <v>54</v>
      </c>
      <c r="D19" s="110">
        <v>200000</v>
      </c>
      <c r="I19" s="80"/>
      <c r="O19" s="141"/>
      <c r="R19" s="201"/>
    </row>
    <row r="20" spans="1:19">
      <c r="A20" s="96" t="s">
        <v>323</v>
      </c>
      <c r="B20" s="92">
        <f>B18/B16</f>
        <v>6075.2566666666653</v>
      </c>
      <c r="C20" s="109" t="s">
        <v>254</v>
      </c>
      <c r="D20" s="93">
        <f>PI()*D17^2/4*D19/D18</f>
        <v>981747.7042468104</v>
      </c>
      <c r="I20" s="80"/>
      <c r="O20" s="141"/>
      <c r="R20" s="201"/>
    </row>
    <row r="21" spans="1:19" ht="17" thickBot="1">
      <c r="A21" s="231" t="s">
        <v>298</v>
      </c>
      <c r="B21" s="237">
        <f>3*B7*B18/B12^3</f>
        <v>70962.60405400586</v>
      </c>
      <c r="C21" s="231" t="s">
        <v>304</v>
      </c>
      <c r="D21" s="221">
        <v>3</v>
      </c>
      <c r="E21" s="168"/>
      <c r="F21" s="168"/>
      <c r="G21" s="168"/>
      <c r="H21" s="168"/>
      <c r="I21" s="221"/>
      <c r="J21" s="168"/>
      <c r="K21" s="168"/>
      <c r="L21" s="168"/>
      <c r="M21" s="168"/>
      <c r="O21" s="141"/>
      <c r="R21" s="201"/>
    </row>
    <row r="22" spans="1:19" ht="17" thickBot="1">
      <c r="A22" s="403" t="s">
        <v>359</v>
      </c>
      <c r="B22" s="404"/>
      <c r="C22" s="404"/>
      <c r="D22" s="404"/>
      <c r="E22" s="404"/>
      <c r="F22" s="404"/>
      <c r="G22" s="404"/>
      <c r="H22" s="404"/>
      <c r="I22" s="404"/>
      <c r="J22" s="404"/>
      <c r="K22" s="404"/>
      <c r="L22" s="404"/>
      <c r="M22" s="405"/>
      <c r="N22" s="175"/>
      <c r="O22" s="141"/>
      <c r="R22" s="201"/>
    </row>
    <row r="23" spans="1:19" ht="34">
      <c r="A23" s="263" t="s">
        <v>360</v>
      </c>
      <c r="B23" s="224"/>
      <c r="C23" s="232" t="s">
        <v>251</v>
      </c>
      <c r="D23" s="155"/>
      <c r="E23" s="155"/>
      <c r="F23" s="155"/>
      <c r="G23" s="155"/>
      <c r="H23" s="155"/>
      <c r="I23" s="154"/>
      <c r="J23" s="155"/>
      <c r="K23" s="155"/>
      <c r="L23" s="155"/>
      <c r="M23" s="155"/>
      <c r="O23" s="141"/>
      <c r="R23" s="201"/>
    </row>
    <row r="24" spans="1:19">
      <c r="A24" s="96" t="s">
        <v>3</v>
      </c>
      <c r="B24" s="101"/>
      <c r="C24" s="146"/>
      <c r="O24" s="201"/>
      <c r="P24" s="201"/>
      <c r="Q24" s="201"/>
      <c r="R24" s="201"/>
    </row>
    <row r="25" spans="1:19">
      <c r="A25" s="209" t="s">
        <v>111</v>
      </c>
      <c r="B25" s="144">
        <f>SUM(H35:S35)+C25</f>
        <v>327249.23474893678</v>
      </c>
      <c r="C25" s="228">
        <f>D20/D21</f>
        <v>327249.23474893678</v>
      </c>
      <c r="O25" s="201"/>
      <c r="P25" s="201"/>
      <c r="Q25" s="201"/>
      <c r="R25" s="201"/>
    </row>
    <row r="26" spans="1:19">
      <c r="A26" s="209" t="s">
        <v>112</v>
      </c>
      <c r="B26" s="144">
        <f>SUM(H36:S36)+C26</f>
        <v>2588000</v>
      </c>
      <c r="C26" s="210">
        <v>0</v>
      </c>
      <c r="G26" s="234" t="s">
        <v>175</v>
      </c>
      <c r="O26" s="201"/>
      <c r="P26" s="201"/>
      <c r="Q26" s="201"/>
      <c r="R26" s="201"/>
    </row>
    <row r="27" spans="1:19">
      <c r="A27" s="209" t="s">
        <v>113</v>
      </c>
      <c r="B27" s="144">
        <f>SUM(H37:S37)+C27</f>
        <v>2588000</v>
      </c>
      <c r="C27" s="210">
        <v>0</v>
      </c>
      <c r="G27" s="80" t="s">
        <v>118</v>
      </c>
      <c r="O27" s="201"/>
      <c r="P27" s="201"/>
      <c r="Q27" s="201"/>
      <c r="R27" s="201"/>
    </row>
    <row r="28" spans="1:19">
      <c r="A28" s="96" t="s">
        <v>109</v>
      </c>
      <c r="B28" s="101"/>
      <c r="C28" s="192"/>
      <c r="D28" s="85"/>
      <c r="E28" s="85"/>
      <c r="F28" s="85"/>
      <c r="G28" s="204" t="s">
        <v>127</v>
      </c>
      <c r="H28" s="205">
        <v>4</v>
      </c>
      <c r="O28" s="201"/>
      <c r="P28" s="201"/>
      <c r="Q28" s="201"/>
      <c r="R28" s="201"/>
    </row>
    <row r="29" spans="1:19">
      <c r="A29" s="209" t="s">
        <v>8</v>
      </c>
      <c r="B29" s="144">
        <f>SUM(H39:S39)+SUM(H43:S43)+C29</f>
        <v>6874375000</v>
      </c>
      <c r="C29" s="210">
        <v>0</v>
      </c>
      <c r="D29" s="85"/>
      <c r="E29" s="85"/>
      <c r="F29" s="85"/>
      <c r="H29" s="387" t="s">
        <v>123</v>
      </c>
      <c r="I29" s="387"/>
      <c r="J29" s="387"/>
      <c r="K29" s="387"/>
      <c r="L29" s="387"/>
      <c r="M29" s="387"/>
      <c r="N29" s="387"/>
      <c r="O29" s="387"/>
      <c r="P29" s="387"/>
      <c r="Q29" s="387"/>
      <c r="R29" s="387"/>
      <c r="S29" s="387"/>
    </row>
    <row r="30" spans="1:19">
      <c r="A30" s="209" t="s">
        <v>114</v>
      </c>
      <c r="B30" s="144">
        <f>SUM(H40:S40)+SUM(H44:S44)+C30</f>
        <v>6604791666.666667</v>
      </c>
      <c r="C30" s="210">
        <v>0</v>
      </c>
      <c r="D30" s="85"/>
      <c r="E30" s="85"/>
      <c r="F30" s="85"/>
      <c r="G30" s="80" t="s">
        <v>108</v>
      </c>
      <c r="H30" s="84">
        <v>1</v>
      </c>
      <c r="I30" s="84">
        <f>H30+1</f>
        <v>2</v>
      </c>
      <c r="J30" s="84">
        <f t="shared" ref="J30:R30" si="0">I30+1</f>
        <v>3</v>
      </c>
      <c r="K30" s="84">
        <f t="shared" si="0"/>
        <v>4</v>
      </c>
      <c r="L30" s="84">
        <f t="shared" si="0"/>
        <v>5</v>
      </c>
      <c r="M30" s="84">
        <f t="shared" si="0"/>
        <v>6</v>
      </c>
      <c r="N30" s="84">
        <f t="shared" si="0"/>
        <v>7</v>
      </c>
      <c r="O30" s="84">
        <f t="shared" si="0"/>
        <v>8</v>
      </c>
      <c r="P30" s="84">
        <f>O30+1</f>
        <v>9</v>
      </c>
      <c r="Q30" s="84">
        <f t="shared" si="0"/>
        <v>10</v>
      </c>
      <c r="R30" s="84">
        <f t="shared" si="0"/>
        <v>11</v>
      </c>
      <c r="S30" s="84">
        <f>R30+1</f>
        <v>12</v>
      </c>
    </row>
    <row r="31" spans="1:19">
      <c r="A31" s="209" t="s">
        <v>110</v>
      </c>
      <c r="B31" s="144">
        <f>SUM(H41:S41)+SUM(H45:S45)+C31</f>
        <v>6604791666.666667</v>
      </c>
      <c r="C31" s="210">
        <v>0</v>
      </c>
      <c r="D31" s="85"/>
      <c r="E31" s="85"/>
      <c r="F31" s="85"/>
      <c r="G31" s="96" t="s">
        <v>42</v>
      </c>
      <c r="H31" s="205">
        <v>50</v>
      </c>
      <c r="I31" s="205">
        <v>-50</v>
      </c>
      <c r="J31" s="205">
        <v>-50</v>
      </c>
      <c r="K31" s="205">
        <v>50</v>
      </c>
      <c r="L31" s="205">
        <v>0</v>
      </c>
      <c r="M31" s="205">
        <v>0</v>
      </c>
      <c r="N31" s="205">
        <v>0</v>
      </c>
      <c r="O31" s="205">
        <v>0</v>
      </c>
      <c r="P31" s="205">
        <v>0</v>
      </c>
      <c r="Q31" s="205">
        <v>0</v>
      </c>
      <c r="R31" s="205">
        <v>0</v>
      </c>
      <c r="S31" s="205">
        <v>0</v>
      </c>
    </row>
    <row r="32" spans="1:19">
      <c r="A32" s="388" t="s">
        <v>180</v>
      </c>
      <c r="B32" s="388"/>
      <c r="C32" s="388"/>
      <c r="D32" s="85"/>
      <c r="E32" s="85"/>
      <c r="F32" s="85"/>
      <c r="G32" s="96" t="s">
        <v>43</v>
      </c>
      <c r="H32" s="205">
        <v>0</v>
      </c>
      <c r="I32" s="205">
        <v>0</v>
      </c>
      <c r="J32" s="205">
        <v>0</v>
      </c>
      <c r="K32" s="205">
        <v>0</v>
      </c>
      <c r="L32" s="205">
        <v>0</v>
      </c>
      <c r="M32" s="205">
        <v>0</v>
      </c>
      <c r="N32" s="205">
        <v>0</v>
      </c>
      <c r="O32" s="205">
        <v>0</v>
      </c>
      <c r="P32" s="205">
        <v>0</v>
      </c>
      <c r="Q32" s="205">
        <v>0</v>
      </c>
      <c r="R32" s="205">
        <v>0</v>
      </c>
      <c r="S32" s="205">
        <v>0</v>
      </c>
    </row>
    <row r="33" spans="1:19">
      <c r="A33" s="388"/>
      <c r="B33" s="388"/>
      <c r="C33" s="388"/>
      <c r="D33" s="85"/>
      <c r="E33" s="85"/>
      <c r="F33" s="85"/>
      <c r="G33" s="96" t="s">
        <v>44</v>
      </c>
      <c r="H33" s="205">
        <v>50</v>
      </c>
      <c r="I33" s="205">
        <v>50</v>
      </c>
      <c r="J33" s="205">
        <v>-50</v>
      </c>
      <c r="K33" s="205">
        <v>-50</v>
      </c>
      <c r="L33" s="205">
        <v>0</v>
      </c>
      <c r="M33" s="205">
        <v>0</v>
      </c>
      <c r="N33" s="205">
        <v>0</v>
      </c>
      <c r="O33" s="205">
        <v>0</v>
      </c>
      <c r="P33" s="205">
        <v>0</v>
      </c>
      <c r="Q33" s="205">
        <v>0</v>
      </c>
      <c r="R33" s="205">
        <v>0</v>
      </c>
      <c r="S33" s="205">
        <v>0</v>
      </c>
    </row>
    <row r="34" spans="1:19">
      <c r="A34" s="388"/>
      <c r="B34" s="388"/>
      <c r="C34" s="388"/>
      <c r="G34" s="80" t="s">
        <v>124</v>
      </c>
      <c r="H34" s="389"/>
      <c r="I34" s="389"/>
      <c r="J34" s="389"/>
      <c r="K34" s="389"/>
    </row>
    <row r="35" spans="1:19">
      <c r="A35" s="212" t="s">
        <v>176</v>
      </c>
      <c r="B35" s="205"/>
      <c r="C35" s="205"/>
      <c r="D35" s="85"/>
      <c r="E35" s="85"/>
      <c r="F35" s="85"/>
      <c r="G35" s="96" t="s">
        <v>111</v>
      </c>
      <c r="H35" s="134">
        <v>0</v>
      </c>
      <c r="I35" s="134">
        <v>0</v>
      </c>
      <c r="J35" s="134">
        <v>0</v>
      </c>
      <c r="K35" s="134">
        <v>0</v>
      </c>
      <c r="L35" s="205">
        <v>0</v>
      </c>
      <c r="M35" s="205">
        <v>0</v>
      </c>
      <c r="N35" s="205">
        <v>0</v>
      </c>
      <c r="O35" s="205">
        <v>0</v>
      </c>
      <c r="P35" s="205">
        <v>0</v>
      </c>
      <c r="Q35" s="205">
        <v>0</v>
      </c>
      <c r="R35" s="205">
        <v>0</v>
      </c>
      <c r="S35" s="205">
        <v>0</v>
      </c>
    </row>
    <row r="36" spans="1:19">
      <c r="A36" s="79" t="s">
        <v>103</v>
      </c>
      <c r="D36" s="85"/>
      <c r="E36" s="85"/>
      <c r="F36" s="85"/>
      <c r="G36" s="96" t="s">
        <v>112</v>
      </c>
      <c r="H36" s="134">
        <f>'ref bearings, servo, structure'!B5</f>
        <v>647000</v>
      </c>
      <c r="I36" s="134">
        <f>H36</f>
        <v>647000</v>
      </c>
      <c r="J36" s="134">
        <f t="shared" ref="J36:K36" si="1">I36</f>
        <v>647000</v>
      </c>
      <c r="K36" s="134">
        <f t="shared" si="1"/>
        <v>647000</v>
      </c>
      <c r="L36" s="205">
        <v>0</v>
      </c>
      <c r="M36" s="205">
        <v>0</v>
      </c>
      <c r="N36" s="205">
        <v>0</v>
      </c>
      <c r="O36" s="205">
        <v>0</v>
      </c>
      <c r="P36" s="205">
        <v>0</v>
      </c>
      <c r="Q36" s="205">
        <v>0</v>
      </c>
      <c r="R36" s="205">
        <v>0</v>
      </c>
      <c r="S36" s="205">
        <v>0</v>
      </c>
    </row>
    <row r="37" spans="1:19">
      <c r="A37" s="96" t="s">
        <v>177</v>
      </c>
      <c r="B37" s="205">
        <v>0</v>
      </c>
      <c r="D37" s="85"/>
      <c r="E37" s="85"/>
      <c r="F37" s="85"/>
      <c r="G37" s="96" t="s">
        <v>113</v>
      </c>
      <c r="H37" s="134">
        <f>H36</f>
        <v>647000</v>
      </c>
      <c r="I37" s="134">
        <f t="shared" ref="I37:K37" si="2">I36</f>
        <v>647000</v>
      </c>
      <c r="J37" s="134">
        <f t="shared" si="2"/>
        <v>647000</v>
      </c>
      <c r="K37" s="134">
        <f t="shared" si="2"/>
        <v>647000</v>
      </c>
      <c r="L37" s="205">
        <v>0</v>
      </c>
      <c r="M37" s="205">
        <v>0</v>
      </c>
      <c r="N37" s="205">
        <v>0</v>
      </c>
      <c r="O37" s="205">
        <v>0</v>
      </c>
      <c r="P37" s="205">
        <v>0</v>
      </c>
      <c r="Q37" s="205">
        <v>0</v>
      </c>
      <c r="R37" s="205">
        <v>0</v>
      </c>
      <c r="S37" s="205">
        <v>0</v>
      </c>
    </row>
    <row r="38" spans="1:19">
      <c r="A38" s="96" t="s">
        <v>178</v>
      </c>
      <c r="B38" s="205">
        <v>0</v>
      </c>
      <c r="D38" s="85"/>
      <c r="E38" s="85"/>
      <c r="F38" s="85"/>
      <c r="G38" s="80" t="s">
        <v>125</v>
      </c>
      <c r="H38" s="389"/>
      <c r="I38" s="389"/>
      <c r="J38" s="389"/>
      <c r="K38" s="389"/>
    </row>
    <row r="39" spans="1:19">
      <c r="A39" s="96" t="s">
        <v>179</v>
      </c>
      <c r="B39" s="205">
        <v>0</v>
      </c>
      <c r="D39" s="85"/>
      <c r="E39" s="85"/>
      <c r="F39" s="85"/>
      <c r="G39" s="96" t="s">
        <v>8</v>
      </c>
      <c r="H39" s="134">
        <f>'ref bearings, servo, structure'!B10</f>
        <v>101093750</v>
      </c>
      <c r="I39" s="134">
        <f>H39</f>
        <v>101093750</v>
      </c>
      <c r="J39" s="134">
        <f t="shared" ref="J39:K39" si="3">I39</f>
        <v>101093750</v>
      </c>
      <c r="K39" s="134">
        <f t="shared" si="3"/>
        <v>101093750</v>
      </c>
      <c r="L39" s="205">
        <v>0</v>
      </c>
      <c r="M39" s="205">
        <v>0</v>
      </c>
      <c r="N39" s="205">
        <v>0</v>
      </c>
      <c r="O39" s="205">
        <v>0</v>
      </c>
      <c r="P39" s="205">
        <v>0</v>
      </c>
      <c r="Q39" s="205">
        <v>0</v>
      </c>
      <c r="R39" s="205">
        <v>0</v>
      </c>
      <c r="S39" s="205">
        <v>0</v>
      </c>
    </row>
    <row r="40" spans="1:19">
      <c r="A40" s="141" t="s">
        <v>104</v>
      </c>
      <c r="D40" s="85"/>
      <c r="E40" s="85"/>
      <c r="F40" s="85"/>
      <c r="G40" s="96" t="s">
        <v>114</v>
      </c>
      <c r="H40" s="134">
        <f>'ref bearings, servo, structure'!B12</f>
        <v>33697916.666666664</v>
      </c>
      <c r="I40" s="134">
        <f t="shared" ref="I40:K41" si="4">H40</f>
        <v>33697916.666666664</v>
      </c>
      <c r="J40" s="134">
        <f t="shared" si="4"/>
        <v>33697916.666666664</v>
      </c>
      <c r="K40" s="134">
        <f t="shared" si="4"/>
        <v>33697916.666666664</v>
      </c>
      <c r="L40" s="205">
        <v>0</v>
      </c>
      <c r="M40" s="205">
        <v>0</v>
      </c>
      <c r="N40" s="205">
        <v>0</v>
      </c>
      <c r="O40" s="205">
        <v>0</v>
      </c>
      <c r="P40" s="205">
        <v>0</v>
      </c>
      <c r="Q40" s="205">
        <v>0</v>
      </c>
      <c r="R40" s="205">
        <v>0</v>
      </c>
      <c r="S40" s="205">
        <v>0</v>
      </c>
    </row>
    <row r="41" spans="1:19">
      <c r="A41" s="96" t="s">
        <v>177</v>
      </c>
      <c r="B41" s="205">
        <v>0</v>
      </c>
      <c r="G41" s="96" t="s">
        <v>110</v>
      </c>
      <c r="H41" s="134">
        <f>'ref bearings, servo, structure'!B11</f>
        <v>33697916.666666664</v>
      </c>
      <c r="I41" s="134">
        <f t="shared" si="4"/>
        <v>33697916.666666664</v>
      </c>
      <c r="J41" s="134">
        <f t="shared" si="4"/>
        <v>33697916.666666664</v>
      </c>
      <c r="K41" s="134">
        <f t="shared" si="4"/>
        <v>33697916.666666664</v>
      </c>
      <c r="L41" s="205">
        <v>0</v>
      </c>
      <c r="M41" s="205">
        <v>0</v>
      </c>
      <c r="N41" s="205">
        <v>0</v>
      </c>
      <c r="O41" s="205">
        <v>0</v>
      </c>
      <c r="P41" s="205">
        <v>0</v>
      </c>
      <c r="Q41" s="205">
        <v>0</v>
      </c>
      <c r="R41" s="205">
        <v>0</v>
      </c>
      <c r="S41" s="205">
        <v>0</v>
      </c>
    </row>
    <row r="42" spans="1:19">
      <c r="A42" s="96" t="s">
        <v>178</v>
      </c>
      <c r="B42" s="205">
        <v>0</v>
      </c>
      <c r="D42" s="208"/>
      <c r="E42" s="208"/>
      <c r="F42" s="208"/>
      <c r="G42" s="80" t="s">
        <v>119</v>
      </c>
    </row>
    <row r="43" spans="1:19">
      <c r="A43" s="96" t="s">
        <v>179</v>
      </c>
      <c r="B43" s="205">
        <v>0</v>
      </c>
      <c r="D43" s="146"/>
      <c r="E43" s="146"/>
      <c r="F43" s="146"/>
      <c r="G43" s="96" t="s">
        <v>8</v>
      </c>
      <c r="H43" s="144">
        <f>H36*H33^2+H37*H32^2</f>
        <v>1617500000</v>
      </c>
      <c r="I43" s="144">
        <f t="shared" ref="I43:S43" si="5">I36*I33^2+I37*I32^2</f>
        <v>1617500000</v>
      </c>
      <c r="J43" s="144">
        <f t="shared" si="5"/>
        <v>1617500000</v>
      </c>
      <c r="K43" s="144">
        <f t="shared" si="5"/>
        <v>1617500000</v>
      </c>
      <c r="L43" s="99">
        <f t="shared" si="5"/>
        <v>0</v>
      </c>
      <c r="M43" s="99">
        <f t="shared" si="5"/>
        <v>0</v>
      </c>
      <c r="N43" s="99">
        <f t="shared" si="5"/>
        <v>0</v>
      </c>
      <c r="O43" s="99">
        <f t="shared" si="5"/>
        <v>0</v>
      </c>
      <c r="P43" s="99">
        <f t="shared" si="5"/>
        <v>0</v>
      </c>
      <c r="Q43" s="99">
        <f t="shared" si="5"/>
        <v>0</v>
      </c>
      <c r="R43" s="99">
        <f t="shared" si="5"/>
        <v>0</v>
      </c>
      <c r="S43" s="99">
        <f t="shared" si="5"/>
        <v>0</v>
      </c>
    </row>
    <row r="44" spans="1:19">
      <c r="A44" s="206" t="s">
        <v>194</v>
      </c>
      <c r="C44" s="85"/>
      <c r="D44" s="210"/>
      <c r="E44" s="210"/>
      <c r="F44" s="210"/>
      <c r="G44" s="96" t="s">
        <v>114</v>
      </c>
      <c r="H44" s="144">
        <f>H35*H33^2+H37*H31^2</f>
        <v>1617500000</v>
      </c>
      <c r="I44" s="144">
        <f t="shared" ref="I44:S44" si="6">I35*I33^2+I37*I31^2</f>
        <v>1617500000</v>
      </c>
      <c r="J44" s="144">
        <f t="shared" si="6"/>
        <v>1617500000</v>
      </c>
      <c r="K44" s="144">
        <f t="shared" si="6"/>
        <v>1617500000</v>
      </c>
      <c r="L44" s="99">
        <f t="shared" si="6"/>
        <v>0</v>
      </c>
      <c r="M44" s="99">
        <f t="shared" si="6"/>
        <v>0</v>
      </c>
      <c r="N44" s="99">
        <f t="shared" si="6"/>
        <v>0</v>
      </c>
      <c r="O44" s="99">
        <f t="shared" si="6"/>
        <v>0</v>
      </c>
      <c r="P44" s="99">
        <f t="shared" si="6"/>
        <v>0</v>
      </c>
      <c r="Q44" s="99">
        <f t="shared" si="6"/>
        <v>0</v>
      </c>
      <c r="R44" s="99">
        <f t="shared" si="6"/>
        <v>0</v>
      </c>
      <c r="S44" s="99">
        <f t="shared" si="6"/>
        <v>0</v>
      </c>
    </row>
    <row r="45" spans="1:19">
      <c r="A45" s="96" t="s">
        <v>115</v>
      </c>
      <c r="B45" s="99">
        <f>SQRT((H47^2+I47^2+J47^2+K47^2+L47^2+M47^2+N47^2+O47^2+P47^2+Q47^2+R47^2+S47^2)/H$28)</f>
        <v>5.0000000000000001E-3</v>
      </c>
      <c r="C45" s="85"/>
      <c r="D45" s="210"/>
      <c r="E45" s="210"/>
      <c r="F45" s="210"/>
      <c r="G45" s="96" t="s">
        <v>110</v>
      </c>
      <c r="H45" s="144">
        <f>H35*H32^2+H36*H31^2</f>
        <v>1617500000</v>
      </c>
      <c r="I45" s="144">
        <f t="shared" ref="I45:S45" si="7">I35*I32^2+I36*I31^2</f>
        <v>1617500000</v>
      </c>
      <c r="J45" s="144">
        <f t="shared" si="7"/>
        <v>1617500000</v>
      </c>
      <c r="K45" s="144">
        <f t="shared" si="7"/>
        <v>1617500000</v>
      </c>
      <c r="L45" s="99">
        <f t="shared" si="7"/>
        <v>0</v>
      </c>
      <c r="M45" s="99">
        <f t="shared" si="7"/>
        <v>0</v>
      </c>
      <c r="N45" s="99">
        <f t="shared" si="7"/>
        <v>0</v>
      </c>
      <c r="O45" s="99">
        <f t="shared" si="7"/>
        <v>0</v>
      </c>
      <c r="P45" s="99">
        <f t="shared" si="7"/>
        <v>0</v>
      </c>
      <c r="Q45" s="99">
        <f t="shared" si="7"/>
        <v>0</v>
      </c>
      <c r="R45" s="99">
        <f t="shared" si="7"/>
        <v>0</v>
      </c>
      <c r="S45" s="99">
        <f t="shared" si="7"/>
        <v>0</v>
      </c>
    </row>
    <row r="46" spans="1:19">
      <c r="A46" s="96" t="s">
        <v>116</v>
      </c>
      <c r="B46" s="99">
        <f>SQRT((H48^2+I48^2+J48^2+K48^2+L48^2+M48^2+N48^2+O48^2+P48^2+Q48^2+R48^2+S48^2)/H$28)</f>
        <v>5.0000000000000001E-3</v>
      </c>
      <c r="C46" s="85"/>
      <c r="D46" s="210"/>
      <c r="E46" s="210"/>
      <c r="F46" s="210"/>
      <c r="G46" s="80" t="s">
        <v>293</v>
      </c>
    </row>
    <row r="47" spans="1:19">
      <c r="A47" s="96" t="s">
        <v>117</v>
      </c>
      <c r="B47" s="99">
        <f>SQRT((H49^2+I49^2+J49^2+K49^2+L49^2+M49^2+N49^2+O49^2+P49^2+Q49^2+R49^2+S49^2)/H$28)</f>
        <v>5.0000000000000001E-3</v>
      </c>
      <c r="C47" s="85"/>
      <c r="D47" s="192"/>
      <c r="E47" s="192"/>
      <c r="F47" s="192"/>
      <c r="G47" s="96" t="s">
        <v>115</v>
      </c>
      <c r="H47" s="205">
        <f t="shared" ref="H47:K49" si="8">IF(REBS="YES", REB, 0.005)</f>
        <v>5.0000000000000001E-3</v>
      </c>
      <c r="I47" s="205">
        <f t="shared" si="8"/>
        <v>5.0000000000000001E-3</v>
      </c>
      <c r="J47" s="205">
        <f t="shared" si="8"/>
        <v>5.0000000000000001E-3</v>
      </c>
      <c r="K47" s="205">
        <f t="shared" si="8"/>
        <v>5.0000000000000001E-3</v>
      </c>
      <c r="L47" s="205">
        <v>0</v>
      </c>
      <c r="M47" s="205">
        <v>0</v>
      </c>
      <c r="N47" s="205">
        <v>0</v>
      </c>
      <c r="O47" s="205">
        <v>0</v>
      </c>
      <c r="P47" s="205">
        <v>0</v>
      </c>
      <c r="Q47" s="205">
        <v>0</v>
      </c>
      <c r="R47" s="205">
        <v>0</v>
      </c>
      <c r="S47" s="205">
        <v>0</v>
      </c>
    </row>
    <row r="48" spans="1:19">
      <c r="A48" s="96" t="s">
        <v>80</v>
      </c>
      <c r="B48" s="99">
        <f>SQRT((H51^2+I51^2+J51^2+K51^2+L51^2+M51^2+N51^2+O51^2+P51^2+Q51^2+R51^2+S51^2+B37^2)/H$28)</f>
        <v>1.0000000000000007E-4</v>
      </c>
      <c r="C48" s="85"/>
      <c r="D48" s="210"/>
      <c r="E48" s="210"/>
      <c r="F48" s="210"/>
      <c r="G48" s="96" t="s">
        <v>116</v>
      </c>
      <c r="H48" s="205">
        <f t="shared" si="8"/>
        <v>5.0000000000000001E-3</v>
      </c>
      <c r="I48" s="205">
        <f t="shared" si="8"/>
        <v>5.0000000000000001E-3</v>
      </c>
      <c r="J48" s="205">
        <f t="shared" si="8"/>
        <v>5.0000000000000001E-3</v>
      </c>
      <c r="K48" s="205">
        <f t="shared" si="8"/>
        <v>5.0000000000000001E-3</v>
      </c>
      <c r="L48" s="205">
        <v>0</v>
      </c>
      <c r="M48" s="205">
        <v>0</v>
      </c>
      <c r="N48" s="205">
        <v>0</v>
      </c>
      <c r="O48" s="205">
        <v>0</v>
      </c>
      <c r="P48" s="205">
        <v>0</v>
      </c>
      <c r="Q48" s="205">
        <v>0</v>
      </c>
      <c r="R48" s="205">
        <v>0</v>
      </c>
      <c r="S48" s="205">
        <v>0</v>
      </c>
    </row>
    <row r="49" spans="1:20">
      <c r="A49" s="96" t="s">
        <v>81</v>
      </c>
      <c r="B49" s="99">
        <f>SQRT((H52^2+I52^2+J52^2+K52^2+L52^2+M52^2+N52^2+O52^2+P52^2+Q52^2+R52^2+S52^2+B38^2)/H$28)</f>
        <v>9.9999999000000077E-5</v>
      </c>
      <c r="D49" s="210"/>
      <c r="E49" s="210"/>
      <c r="F49" s="210"/>
      <c r="G49" s="96" t="s">
        <v>117</v>
      </c>
      <c r="H49" s="205">
        <f t="shared" si="8"/>
        <v>5.0000000000000001E-3</v>
      </c>
      <c r="I49" s="205">
        <f t="shared" si="8"/>
        <v>5.0000000000000001E-3</v>
      </c>
      <c r="J49" s="205">
        <f t="shared" si="8"/>
        <v>5.0000000000000001E-3</v>
      </c>
      <c r="K49" s="205">
        <f t="shared" si="8"/>
        <v>5.0000000000000001E-3</v>
      </c>
      <c r="L49" s="205">
        <v>0</v>
      </c>
      <c r="M49" s="205">
        <v>0</v>
      </c>
      <c r="N49" s="205">
        <v>0</v>
      </c>
      <c r="O49" s="205">
        <v>0</v>
      </c>
      <c r="P49" s="205">
        <v>0</v>
      </c>
      <c r="Q49" s="205">
        <v>0</v>
      </c>
      <c r="R49" s="205">
        <v>0</v>
      </c>
      <c r="S49" s="205">
        <v>0</v>
      </c>
    </row>
    <row r="50" spans="1:20">
      <c r="A50" s="96" t="s">
        <v>82</v>
      </c>
      <c r="B50" s="99">
        <f>SQRT((H53^2+I53^2+J53^2+K53^2+L53^2+M53^2+N53^2+O53^2+P53^2+Q53^2+R53^2+S53^2+B39^2)/H$28)</f>
        <v>1.0000000000000007E-4</v>
      </c>
      <c r="C50" s="85"/>
      <c r="D50" s="210"/>
      <c r="E50" s="210"/>
      <c r="F50" s="210"/>
      <c r="G50" s="80" t="s">
        <v>238</v>
      </c>
    </row>
    <row r="51" spans="1:20" ht="51">
      <c r="A51" s="207" t="s">
        <v>195</v>
      </c>
      <c r="B51" s="101"/>
      <c r="C51" s="85"/>
      <c r="D51" s="211"/>
      <c r="E51" s="211"/>
      <c r="F51" s="211"/>
      <c r="G51" s="96" t="s">
        <v>80</v>
      </c>
      <c r="H51" s="144">
        <f>H98</f>
        <v>9.9999998000000053E-5</v>
      </c>
      <c r="I51" s="144">
        <f t="shared" ref="I51:S51" si="9">I98</f>
        <v>9.9999998000000053E-5</v>
      </c>
      <c r="J51" s="144">
        <f t="shared" si="9"/>
        <v>1.0000000200000004E-4</v>
      </c>
      <c r="K51" s="144">
        <f t="shared" si="9"/>
        <v>1.0000000200000004E-4</v>
      </c>
      <c r="L51" s="144">
        <f t="shared" si="9"/>
        <v>0</v>
      </c>
      <c r="M51" s="144">
        <f t="shared" si="9"/>
        <v>0</v>
      </c>
      <c r="N51" s="144">
        <f t="shared" si="9"/>
        <v>0</v>
      </c>
      <c r="O51" s="144">
        <f t="shared" si="9"/>
        <v>0</v>
      </c>
      <c r="P51" s="144">
        <f t="shared" si="9"/>
        <v>0</v>
      </c>
      <c r="Q51" s="144">
        <f t="shared" si="9"/>
        <v>0</v>
      </c>
      <c r="R51" s="144">
        <f t="shared" si="9"/>
        <v>0</v>
      </c>
      <c r="S51" s="144">
        <f t="shared" si="9"/>
        <v>0</v>
      </c>
    </row>
    <row r="52" spans="1:20">
      <c r="A52" s="96" t="s">
        <v>115</v>
      </c>
      <c r="B52" s="99">
        <f>SQRT((H55^2+I55^2+J55^2+K55^2+L55^2+M55^2+N55^2+O55^2+P55^2+Q55^2+R55^2+S55^2)/H$28)</f>
        <v>0</v>
      </c>
      <c r="C52" s="85"/>
      <c r="D52" s="211"/>
      <c r="E52" s="211"/>
      <c r="F52" s="211"/>
      <c r="G52" s="96" t="s">
        <v>81</v>
      </c>
      <c r="H52" s="144">
        <f>H102</f>
        <v>9.9999998000000053E-5</v>
      </c>
      <c r="I52" s="144">
        <f t="shared" ref="I52:S52" si="10">I102</f>
        <v>9.9999998000000053E-5</v>
      </c>
      <c r="J52" s="144">
        <f t="shared" si="10"/>
        <v>1.0000000200000004E-4</v>
      </c>
      <c r="K52" s="144">
        <f t="shared" si="10"/>
        <v>9.9999998000000053E-5</v>
      </c>
      <c r="L52" s="144">
        <f t="shared" si="10"/>
        <v>0</v>
      </c>
      <c r="M52" s="144">
        <f t="shared" si="10"/>
        <v>0</v>
      </c>
      <c r="N52" s="144">
        <f t="shared" si="10"/>
        <v>0</v>
      </c>
      <c r="O52" s="144">
        <f t="shared" si="10"/>
        <v>0</v>
      </c>
      <c r="P52" s="144">
        <f t="shared" si="10"/>
        <v>0</v>
      </c>
      <c r="Q52" s="144">
        <f t="shared" si="10"/>
        <v>0</v>
      </c>
      <c r="R52" s="144">
        <f t="shared" si="10"/>
        <v>0</v>
      </c>
      <c r="S52" s="144">
        <f t="shared" si="10"/>
        <v>0</v>
      </c>
      <c r="T52" s="81"/>
    </row>
    <row r="53" spans="1:20">
      <c r="A53" s="96" t="s">
        <v>116</v>
      </c>
      <c r="B53" s="99">
        <f>SQRT((H56^2+I56^2+J56^2+K56^2+L56^2+M56^2+N56^2+O56^2+P56^2+Q56^2+R56^2+S56^2)/H$28)</f>
        <v>0</v>
      </c>
      <c r="C53" s="85"/>
      <c r="D53" s="211"/>
      <c r="E53" s="211"/>
      <c r="F53" s="211"/>
      <c r="G53" s="96" t="s">
        <v>82</v>
      </c>
      <c r="H53" s="144">
        <f>H106</f>
        <v>9.9999998000000053E-5</v>
      </c>
      <c r="I53" s="144">
        <f t="shared" ref="I53:S53" si="11">I106</f>
        <v>1.0000000200000004E-4</v>
      </c>
      <c r="J53" s="144">
        <f t="shared" si="11"/>
        <v>1.0000000200000004E-4</v>
      </c>
      <c r="K53" s="144">
        <f t="shared" si="11"/>
        <v>9.9999998000000053E-5</v>
      </c>
      <c r="L53" s="144">
        <f t="shared" si="11"/>
        <v>0</v>
      </c>
      <c r="M53" s="144">
        <f t="shared" si="11"/>
        <v>0</v>
      </c>
      <c r="N53" s="144">
        <f t="shared" si="11"/>
        <v>0</v>
      </c>
      <c r="O53" s="144">
        <f t="shared" si="11"/>
        <v>0</v>
      </c>
      <c r="P53" s="144">
        <f t="shared" si="11"/>
        <v>0</v>
      </c>
      <c r="Q53" s="144">
        <f t="shared" si="11"/>
        <v>0</v>
      </c>
      <c r="R53" s="144">
        <f t="shared" si="11"/>
        <v>0</v>
      </c>
      <c r="S53" s="144">
        <f t="shared" si="11"/>
        <v>0</v>
      </c>
    </row>
    <row r="54" spans="1:20">
      <c r="A54" s="96" t="s">
        <v>117</v>
      </c>
      <c r="B54" s="99">
        <f>SQRT((H57^2+I57^2+J57^2+K57^2+L57^2+M57^2+N57^2+O57^2+P57^2+Q57^2+R57^2+S57^2)/H$28)</f>
        <v>0</v>
      </c>
      <c r="C54" s="85"/>
      <c r="D54" s="205"/>
      <c r="E54" s="205"/>
      <c r="F54" s="205"/>
      <c r="G54" s="80" t="s">
        <v>317</v>
      </c>
    </row>
    <row r="55" spans="1:20">
      <c r="A55" s="96" t="s">
        <v>80</v>
      </c>
      <c r="B55" s="99">
        <f>SQRT((H59^2+I59^2+J59^2+K59^2+L59^2+M59^2+N59^2+O59^2+P59^2+Q59^2+R59^2+S59^2+B41^2)/H$28)</f>
        <v>0</v>
      </c>
      <c r="C55" s="85"/>
      <c r="G55" s="96" t="s">
        <v>115</v>
      </c>
      <c r="H55" s="205">
        <v>0</v>
      </c>
      <c r="I55" s="205">
        <v>0</v>
      </c>
      <c r="J55" s="205">
        <v>0</v>
      </c>
      <c r="K55" s="205">
        <v>0</v>
      </c>
      <c r="L55" s="205">
        <v>0</v>
      </c>
      <c r="M55" s="205">
        <v>0</v>
      </c>
      <c r="N55" s="205">
        <v>0</v>
      </c>
      <c r="O55" s="205">
        <v>0</v>
      </c>
      <c r="P55" s="205">
        <v>0</v>
      </c>
      <c r="Q55" s="205">
        <v>0</v>
      </c>
      <c r="R55" s="205">
        <v>0</v>
      </c>
      <c r="S55" s="205">
        <v>0</v>
      </c>
    </row>
    <row r="56" spans="1:20">
      <c r="A56" s="96" t="s">
        <v>81</v>
      </c>
      <c r="B56" s="99">
        <f>SQRT((H60^2+I60^2+J60^2+K60^2+L60^2+M60^2+N60^2+O60^2+P60^2+Q60^2+R60^2+S60^2+B42^2)/H$28)</f>
        <v>0</v>
      </c>
      <c r="G56" s="96" t="s">
        <v>116</v>
      </c>
      <c r="H56" s="205">
        <v>0</v>
      </c>
      <c r="I56" s="205">
        <v>0</v>
      </c>
      <c r="J56" s="205">
        <v>0</v>
      </c>
      <c r="K56" s="205">
        <v>0</v>
      </c>
      <c r="L56" s="205">
        <v>0</v>
      </c>
      <c r="M56" s="205">
        <v>0</v>
      </c>
      <c r="N56" s="205">
        <v>0</v>
      </c>
      <c r="O56" s="205">
        <v>0</v>
      </c>
      <c r="P56" s="205">
        <v>0</v>
      </c>
      <c r="Q56" s="205">
        <v>0</v>
      </c>
      <c r="R56" s="205">
        <v>0</v>
      </c>
      <c r="S56" s="205">
        <v>0</v>
      </c>
    </row>
    <row r="57" spans="1:20">
      <c r="A57" s="96" t="s">
        <v>82</v>
      </c>
      <c r="B57" s="99">
        <f>SQRT((H61^2+I61^2+J61^2+K61^2+L61^2+M61^2+N61^2+O61^2+P61^2+Q61^2+R61^2+S61^2+B43^2)/H$28)</f>
        <v>0</v>
      </c>
      <c r="G57" s="96" t="s">
        <v>117</v>
      </c>
      <c r="H57" s="205">
        <v>0</v>
      </c>
      <c r="I57" s="205">
        <v>0</v>
      </c>
      <c r="J57" s="205">
        <v>0</v>
      </c>
      <c r="K57" s="205">
        <v>0</v>
      </c>
      <c r="L57" s="205">
        <v>0</v>
      </c>
      <c r="M57" s="205">
        <v>0</v>
      </c>
      <c r="N57" s="205">
        <v>0</v>
      </c>
      <c r="O57" s="205">
        <v>0</v>
      </c>
      <c r="P57" s="205">
        <v>0</v>
      </c>
      <c r="Q57" s="205">
        <v>0</v>
      </c>
      <c r="R57" s="205">
        <v>0</v>
      </c>
      <c r="S57" s="205">
        <v>0</v>
      </c>
    </row>
    <row r="58" spans="1:20">
      <c r="G58" s="80" t="s">
        <v>239</v>
      </c>
    </row>
    <row r="59" spans="1:20">
      <c r="A59" s="292" t="s">
        <v>387</v>
      </c>
      <c r="B59" s="292"/>
      <c r="G59" s="96" t="s">
        <v>80</v>
      </c>
      <c r="H59" s="213">
        <f>H113</f>
        <v>0</v>
      </c>
      <c r="I59" s="213">
        <f t="shared" ref="I59:S59" si="12">I113</f>
        <v>0</v>
      </c>
      <c r="J59" s="213">
        <f t="shared" si="12"/>
        <v>0</v>
      </c>
      <c r="K59" s="213">
        <f t="shared" si="12"/>
        <v>0</v>
      </c>
      <c r="L59" s="213">
        <f t="shared" si="12"/>
        <v>0</v>
      </c>
      <c r="M59" s="213">
        <f t="shared" si="12"/>
        <v>0</v>
      </c>
      <c r="N59" s="213">
        <f t="shared" si="12"/>
        <v>0</v>
      </c>
      <c r="O59" s="213">
        <f t="shared" si="12"/>
        <v>0</v>
      </c>
      <c r="P59" s="213">
        <f t="shared" si="12"/>
        <v>0</v>
      </c>
      <c r="Q59" s="213">
        <f t="shared" si="12"/>
        <v>0</v>
      </c>
      <c r="R59" s="213">
        <f t="shared" si="12"/>
        <v>0</v>
      </c>
      <c r="S59" s="213">
        <f t="shared" si="12"/>
        <v>0</v>
      </c>
    </row>
    <row r="60" spans="1:20">
      <c r="A60" s="293" t="s">
        <v>80</v>
      </c>
      <c r="B60" s="294">
        <f>IF(MAX(ABS(B48),ABS(B55))=0, 0.001, MAX(ABS(B48),ABS(B55)))</f>
        <v>1.0000000000000007E-4</v>
      </c>
      <c r="G60" s="96" t="s">
        <v>81</v>
      </c>
      <c r="H60" s="213">
        <f>H118</f>
        <v>0</v>
      </c>
      <c r="I60" s="213">
        <f t="shared" ref="I60:S60" si="13">I118</f>
        <v>0</v>
      </c>
      <c r="J60" s="213">
        <f t="shared" si="13"/>
        <v>0</v>
      </c>
      <c r="K60" s="213">
        <f t="shared" si="13"/>
        <v>0</v>
      </c>
      <c r="L60" s="213">
        <f t="shared" si="13"/>
        <v>0</v>
      </c>
      <c r="M60" s="213">
        <f t="shared" si="13"/>
        <v>0</v>
      </c>
      <c r="N60" s="213">
        <f t="shared" si="13"/>
        <v>0</v>
      </c>
      <c r="O60" s="213">
        <f t="shared" si="13"/>
        <v>0</v>
      </c>
      <c r="P60" s="213">
        <f t="shared" si="13"/>
        <v>0</v>
      </c>
      <c r="Q60" s="213">
        <f t="shared" si="13"/>
        <v>0</v>
      </c>
      <c r="R60" s="213">
        <f t="shared" si="13"/>
        <v>0</v>
      </c>
      <c r="S60" s="213">
        <f t="shared" si="13"/>
        <v>0</v>
      </c>
    </row>
    <row r="61" spans="1:20">
      <c r="A61" s="293" t="s">
        <v>81</v>
      </c>
      <c r="B61" s="294">
        <f t="shared" ref="B61:B62" si="14">IF(MAX(ABS(B49),ABS(B56))=0, 0.001, MAX(ABS(B49),ABS(B56)))</f>
        <v>9.9999999000000077E-5</v>
      </c>
      <c r="G61" s="96" t="s">
        <v>82</v>
      </c>
      <c r="H61" s="213">
        <f>H123</f>
        <v>0</v>
      </c>
      <c r="I61" s="213">
        <f t="shared" ref="I61:S61" si="15">I123</f>
        <v>0</v>
      </c>
      <c r="J61" s="213">
        <f t="shared" si="15"/>
        <v>0</v>
      </c>
      <c r="K61" s="213">
        <f t="shared" si="15"/>
        <v>0</v>
      </c>
      <c r="L61" s="213">
        <f t="shared" si="15"/>
        <v>0</v>
      </c>
      <c r="M61" s="213">
        <f t="shared" si="15"/>
        <v>0</v>
      </c>
      <c r="N61" s="213">
        <f t="shared" si="15"/>
        <v>0</v>
      </c>
      <c r="O61" s="213">
        <f t="shared" si="15"/>
        <v>0</v>
      </c>
      <c r="P61" s="213">
        <f t="shared" si="15"/>
        <v>0</v>
      </c>
      <c r="Q61" s="213">
        <f t="shared" si="15"/>
        <v>0</v>
      </c>
      <c r="R61" s="213">
        <f t="shared" si="15"/>
        <v>0</v>
      </c>
      <c r="S61" s="213">
        <f t="shared" si="15"/>
        <v>0</v>
      </c>
    </row>
    <row r="62" spans="1:20">
      <c r="A62" s="293" t="s">
        <v>82</v>
      </c>
      <c r="B62" s="294">
        <f t="shared" si="14"/>
        <v>1.0000000000000007E-4</v>
      </c>
      <c r="G62" s="206"/>
    </row>
    <row r="63" spans="1:20">
      <c r="I63" s="111"/>
      <c r="J63" s="111"/>
      <c r="K63" s="111"/>
      <c r="L63" s="111"/>
      <c r="M63" s="111"/>
      <c r="N63" s="111"/>
    </row>
    <row r="64" spans="1:20">
      <c r="G64" s="112"/>
      <c r="H64" s="366"/>
      <c r="I64" s="139"/>
      <c r="J64" s="139"/>
      <c r="K64" s="139"/>
      <c r="L64" s="139"/>
      <c r="M64" s="139"/>
      <c r="N64" s="139"/>
      <c r="O64" s="111"/>
    </row>
    <row r="65" spans="1:15">
      <c r="G65" s="112"/>
      <c r="H65" s="366"/>
      <c r="I65" s="139"/>
      <c r="J65" s="139"/>
      <c r="K65" s="139"/>
      <c r="L65" s="139"/>
      <c r="M65" s="139"/>
      <c r="N65" s="139"/>
      <c r="O65" s="111"/>
    </row>
    <row r="66" spans="1:15">
      <c r="G66" s="112"/>
      <c r="H66" s="366"/>
      <c r="I66" s="139"/>
      <c r="J66" s="139"/>
      <c r="K66" s="139"/>
      <c r="L66" s="139"/>
      <c r="M66" s="139"/>
      <c r="N66" s="139"/>
      <c r="O66" s="111"/>
    </row>
    <row r="67" spans="1:15">
      <c r="G67" s="112"/>
      <c r="H67" s="366"/>
      <c r="I67" s="139"/>
      <c r="J67" s="139"/>
      <c r="K67" s="139"/>
      <c r="L67" s="139"/>
      <c r="M67" s="139"/>
      <c r="N67" s="139"/>
      <c r="O67" s="111"/>
    </row>
    <row r="68" spans="1:15">
      <c r="G68" s="112"/>
      <c r="H68" s="366"/>
      <c r="I68" s="139"/>
      <c r="J68" s="139"/>
      <c r="K68" s="139"/>
      <c r="L68" s="139"/>
      <c r="M68" s="139"/>
      <c r="N68" s="139"/>
      <c r="O68" s="111"/>
    </row>
    <row r="69" spans="1:15">
      <c r="G69" s="112"/>
      <c r="H69" s="366"/>
      <c r="I69" s="139"/>
      <c r="J69" s="139"/>
      <c r="K69" s="139"/>
      <c r="L69" s="139"/>
      <c r="M69" s="139"/>
      <c r="N69" s="139"/>
      <c r="O69" s="111"/>
    </row>
    <row r="70" spans="1:15">
      <c r="G70" s="112"/>
      <c r="H70" s="187"/>
      <c r="I70" s="214"/>
      <c r="J70" s="214"/>
      <c r="K70" s="214"/>
      <c r="L70" s="214"/>
      <c r="M70" s="214"/>
      <c r="N70" s="214"/>
      <c r="O70" s="111"/>
    </row>
    <row r="71" spans="1:15">
      <c r="G71" s="112"/>
      <c r="H71" s="187"/>
      <c r="I71" s="214"/>
      <c r="J71" s="214"/>
      <c r="K71" s="214"/>
      <c r="L71" s="214"/>
      <c r="M71" s="214"/>
      <c r="N71" s="214"/>
      <c r="O71" s="111"/>
    </row>
    <row r="72" spans="1:15">
      <c r="G72" s="112"/>
      <c r="H72" s="187"/>
      <c r="I72" s="214"/>
      <c r="J72" s="214"/>
      <c r="K72" s="214"/>
      <c r="L72" s="214"/>
      <c r="M72" s="214"/>
      <c r="N72" s="214"/>
      <c r="O72" s="111"/>
    </row>
    <row r="73" spans="1:15">
      <c r="G73" s="112"/>
      <c r="H73" s="187"/>
      <c r="I73" s="214"/>
      <c r="J73" s="214"/>
      <c r="K73" s="214"/>
      <c r="L73" s="214"/>
      <c r="M73" s="214"/>
      <c r="N73" s="214"/>
      <c r="O73" s="111"/>
    </row>
    <row r="74" spans="1:15">
      <c r="G74" s="112"/>
      <c r="H74" s="187"/>
      <c r="I74" s="214"/>
      <c r="J74" s="214"/>
      <c r="K74" s="214"/>
      <c r="L74" s="214"/>
      <c r="M74" s="214"/>
      <c r="N74" s="214"/>
      <c r="O74" s="111"/>
    </row>
    <row r="75" spans="1:15">
      <c r="G75" s="112"/>
      <c r="H75" s="187"/>
      <c r="I75" s="214"/>
      <c r="J75" s="214"/>
      <c r="K75" s="214"/>
      <c r="L75" s="214"/>
      <c r="M75" s="214"/>
      <c r="N75" s="214"/>
      <c r="O75" s="111"/>
    </row>
    <row r="76" spans="1:15">
      <c r="G76" s="112"/>
      <c r="H76" s="187"/>
      <c r="I76" s="214"/>
      <c r="J76" s="214"/>
      <c r="K76" s="214"/>
      <c r="L76" s="214"/>
      <c r="M76" s="214"/>
      <c r="N76" s="214"/>
      <c r="O76" s="111"/>
    </row>
    <row r="77" spans="1:15">
      <c r="G77" s="112"/>
      <c r="H77" s="187"/>
      <c r="I77" s="214"/>
      <c r="J77" s="214"/>
      <c r="K77" s="214"/>
      <c r="L77" s="214"/>
      <c r="M77" s="214"/>
      <c r="N77" s="214"/>
      <c r="O77" s="111"/>
    </row>
    <row r="78" spans="1:15">
      <c r="A78" s="96"/>
      <c r="B78" s="201"/>
      <c r="G78" s="112"/>
      <c r="H78" s="187"/>
      <c r="I78" s="214"/>
      <c r="J78" s="214"/>
      <c r="K78" s="214"/>
      <c r="L78" s="214"/>
      <c r="M78" s="214"/>
      <c r="N78" s="214"/>
      <c r="O78" s="111"/>
    </row>
    <row r="79" spans="1:15">
      <c r="A79" s="96"/>
      <c r="B79" s="201"/>
      <c r="G79" s="112"/>
      <c r="H79" s="187"/>
      <c r="I79" s="214"/>
      <c r="J79" s="214"/>
      <c r="K79" s="214"/>
      <c r="L79" s="214"/>
      <c r="M79" s="214"/>
      <c r="N79" s="214"/>
      <c r="O79" s="111"/>
    </row>
    <row r="80" spans="1:15">
      <c r="A80" s="96"/>
      <c r="B80" s="201"/>
      <c r="G80" s="112"/>
      <c r="H80" s="187"/>
      <c r="I80" s="214"/>
      <c r="J80" s="214"/>
      <c r="K80" s="214"/>
      <c r="L80" s="214"/>
      <c r="M80" s="214"/>
      <c r="N80" s="214"/>
      <c r="O80" s="111"/>
    </row>
    <row r="81" spans="1:19">
      <c r="A81" s="96"/>
      <c r="B81" s="201"/>
      <c r="G81" s="112"/>
      <c r="H81" s="187"/>
      <c r="I81" s="214"/>
      <c r="J81" s="214"/>
      <c r="K81" s="214"/>
      <c r="L81" s="214"/>
      <c r="M81" s="214"/>
      <c r="N81" s="214"/>
      <c r="O81" s="111"/>
    </row>
    <row r="82" spans="1:19">
      <c r="A82" s="96"/>
      <c r="B82" s="201"/>
      <c r="G82" s="112"/>
      <c r="H82" s="187"/>
      <c r="I82" s="214"/>
      <c r="J82" s="214"/>
      <c r="K82" s="214"/>
      <c r="L82" s="214"/>
      <c r="M82" s="214"/>
      <c r="N82" s="214"/>
      <c r="O82" s="111"/>
    </row>
    <row r="83" spans="1:19">
      <c r="A83" s="96"/>
      <c r="B83" s="201"/>
      <c r="G83" s="112"/>
      <c r="H83" s="187"/>
      <c r="I83" s="214"/>
      <c r="J83" s="214"/>
      <c r="K83" s="214"/>
      <c r="L83" s="214"/>
      <c r="M83" s="214"/>
      <c r="N83" s="214"/>
      <c r="O83" s="111"/>
    </row>
    <row r="84" spans="1:19">
      <c r="A84" s="96"/>
      <c r="B84" s="201"/>
      <c r="G84" s="112"/>
      <c r="H84" s="187"/>
      <c r="I84" s="214"/>
      <c r="J84" s="214"/>
      <c r="K84" s="214"/>
      <c r="L84" s="214"/>
      <c r="M84" s="214"/>
      <c r="N84" s="214"/>
      <c r="O84" s="111"/>
    </row>
    <row r="85" spans="1:19">
      <c r="A85" s="96"/>
      <c r="B85" s="201"/>
      <c r="G85" s="112"/>
      <c r="H85" s="187"/>
      <c r="I85" s="214"/>
      <c r="J85" s="214"/>
      <c r="K85" s="214"/>
      <c r="L85" s="214"/>
      <c r="M85" s="214"/>
      <c r="N85" s="214"/>
      <c r="O85" s="111"/>
    </row>
    <row r="86" spans="1:19">
      <c r="A86" s="96"/>
      <c r="B86" s="201"/>
      <c r="G86" s="112"/>
      <c r="H86" s="187"/>
      <c r="I86" s="214"/>
      <c r="J86" s="214"/>
      <c r="K86" s="214"/>
      <c r="L86" s="214"/>
      <c r="M86" s="214"/>
      <c r="N86" s="214"/>
      <c r="O86" s="111"/>
    </row>
    <row r="87" spans="1:19">
      <c r="A87" s="96"/>
      <c r="B87" s="201"/>
      <c r="G87" s="112"/>
      <c r="H87" s="187"/>
      <c r="I87" s="214"/>
      <c r="J87" s="214"/>
      <c r="K87" s="214"/>
      <c r="L87" s="214"/>
      <c r="M87" s="214"/>
      <c r="N87" s="214"/>
      <c r="O87" s="111"/>
    </row>
    <row r="88" spans="1:19">
      <c r="A88" s="96"/>
      <c r="B88" s="201"/>
      <c r="G88" s="112"/>
      <c r="H88" s="187"/>
      <c r="I88" s="214"/>
      <c r="J88" s="214"/>
      <c r="K88" s="214"/>
      <c r="L88" s="214"/>
      <c r="M88" s="214"/>
      <c r="N88" s="214"/>
      <c r="O88" s="111"/>
    </row>
    <row r="89" spans="1:19">
      <c r="A89" s="96"/>
      <c r="B89" s="201"/>
      <c r="G89" s="112"/>
      <c r="H89" s="187"/>
      <c r="I89" s="214"/>
      <c r="J89" s="214"/>
      <c r="K89" s="214"/>
      <c r="L89" s="214"/>
      <c r="M89" s="214"/>
      <c r="N89" s="214"/>
      <c r="O89" s="111"/>
    </row>
    <row r="90" spans="1:19">
      <c r="A90" s="96"/>
      <c r="B90" s="201"/>
      <c r="G90" s="112"/>
      <c r="H90" s="187"/>
      <c r="I90" s="214"/>
      <c r="J90" s="214"/>
      <c r="K90" s="214"/>
      <c r="L90" s="214"/>
      <c r="M90" s="214"/>
      <c r="N90" s="214"/>
      <c r="O90" s="111"/>
    </row>
    <row r="91" spans="1:19">
      <c r="A91" s="96"/>
      <c r="B91" s="201"/>
    </row>
    <row r="92" spans="1:19">
      <c r="A92" s="96"/>
      <c r="B92" s="201"/>
    </row>
    <row r="93" spans="1:19">
      <c r="A93" s="96"/>
      <c r="B93" s="201"/>
    </row>
    <row r="94" spans="1:19">
      <c r="A94" s="96"/>
      <c r="B94" s="201"/>
      <c r="G94" s="215" t="s">
        <v>246</v>
      </c>
    </row>
    <row r="95" spans="1:19">
      <c r="A95" s="96"/>
      <c r="B95" s="201"/>
      <c r="G95" s="203"/>
      <c r="H95" s="141" t="s">
        <v>247</v>
      </c>
    </row>
    <row r="96" spans="1:19">
      <c r="A96" s="96"/>
      <c r="B96" s="201"/>
      <c r="G96" s="141" t="s">
        <v>245</v>
      </c>
      <c r="H96" s="79">
        <f t="shared" ref="H96:S96" si="16">H48/ABS(H33+0.000001)</f>
        <v>9.9999998000000053E-5</v>
      </c>
      <c r="I96" s="79">
        <f t="shared" si="16"/>
        <v>9.9999998000000053E-5</v>
      </c>
      <c r="J96" s="79">
        <f t="shared" si="16"/>
        <v>1.0000000200000004E-4</v>
      </c>
      <c r="K96" s="79">
        <f t="shared" si="16"/>
        <v>1.0000000200000004E-4</v>
      </c>
      <c r="L96" s="79">
        <f t="shared" si="16"/>
        <v>0</v>
      </c>
      <c r="M96" s="79">
        <f t="shared" si="16"/>
        <v>0</v>
      </c>
      <c r="N96" s="79">
        <f t="shared" si="16"/>
        <v>0</v>
      </c>
      <c r="O96" s="79">
        <f t="shared" si="16"/>
        <v>0</v>
      </c>
      <c r="P96" s="79">
        <f t="shared" si="16"/>
        <v>0</v>
      </c>
      <c r="Q96" s="79">
        <f t="shared" si="16"/>
        <v>0</v>
      </c>
      <c r="R96" s="79">
        <f t="shared" si="16"/>
        <v>0</v>
      </c>
      <c r="S96" s="79">
        <f t="shared" si="16"/>
        <v>0</v>
      </c>
    </row>
    <row r="97" spans="1:19">
      <c r="A97" s="96"/>
      <c r="B97" s="201"/>
      <c r="G97" s="141" t="s">
        <v>245</v>
      </c>
      <c r="H97" s="79">
        <f t="shared" ref="H97:S97" si="17">H49/ABS(H32+0.000001)</f>
        <v>5000</v>
      </c>
      <c r="I97" s="79">
        <f t="shared" si="17"/>
        <v>5000</v>
      </c>
      <c r="J97" s="79">
        <f t="shared" si="17"/>
        <v>5000</v>
      </c>
      <c r="K97" s="79">
        <f t="shared" si="17"/>
        <v>5000</v>
      </c>
      <c r="L97" s="79">
        <f t="shared" si="17"/>
        <v>0</v>
      </c>
      <c r="M97" s="79">
        <f t="shared" si="17"/>
        <v>0</v>
      </c>
      <c r="N97" s="79">
        <f t="shared" si="17"/>
        <v>0</v>
      </c>
      <c r="O97" s="79">
        <f t="shared" si="17"/>
        <v>0</v>
      </c>
      <c r="P97" s="79">
        <f t="shared" si="17"/>
        <v>0</v>
      </c>
      <c r="Q97" s="79">
        <f t="shared" si="17"/>
        <v>0</v>
      </c>
      <c r="R97" s="79">
        <f t="shared" si="17"/>
        <v>0</v>
      </c>
      <c r="S97" s="79">
        <f t="shared" si="17"/>
        <v>0</v>
      </c>
    </row>
    <row r="98" spans="1:19">
      <c r="A98" s="96"/>
      <c r="B98" s="201"/>
      <c r="G98" s="79" t="s">
        <v>243</v>
      </c>
      <c r="H98" s="216">
        <f>IF(MIN(H96,H97)&gt;1,0,MIN(H96,H97))</f>
        <v>9.9999998000000053E-5</v>
      </c>
      <c r="I98" s="216">
        <f t="shared" ref="I98:S98" si="18">IF(MIN(I96,I97)&gt;1,0,MIN(I96,I97))</f>
        <v>9.9999998000000053E-5</v>
      </c>
      <c r="J98" s="216">
        <f t="shared" si="18"/>
        <v>1.0000000200000004E-4</v>
      </c>
      <c r="K98" s="216">
        <f t="shared" si="18"/>
        <v>1.0000000200000004E-4</v>
      </c>
      <c r="L98" s="216">
        <f t="shared" si="18"/>
        <v>0</v>
      </c>
      <c r="M98" s="216">
        <f t="shared" si="18"/>
        <v>0</v>
      </c>
      <c r="N98" s="216">
        <f t="shared" si="18"/>
        <v>0</v>
      </c>
      <c r="O98" s="216">
        <f t="shared" si="18"/>
        <v>0</v>
      </c>
      <c r="P98" s="216">
        <f t="shared" si="18"/>
        <v>0</v>
      </c>
      <c r="Q98" s="216">
        <f t="shared" si="18"/>
        <v>0</v>
      </c>
      <c r="R98" s="216">
        <f t="shared" si="18"/>
        <v>0</v>
      </c>
      <c r="S98" s="216">
        <f t="shared" si="18"/>
        <v>0</v>
      </c>
    </row>
    <row r="99" spans="1:19">
      <c r="A99" s="96"/>
      <c r="B99" s="201"/>
      <c r="H99" s="141" t="s">
        <v>248</v>
      </c>
      <c r="I99" s="141"/>
      <c r="J99" s="141"/>
      <c r="K99" s="141"/>
      <c r="L99" s="141"/>
      <c r="M99" s="141"/>
      <c r="N99" s="141"/>
      <c r="O99" s="141"/>
      <c r="P99" s="141"/>
      <c r="Q99" s="141"/>
      <c r="R99" s="141"/>
      <c r="S99" s="141"/>
    </row>
    <row r="100" spans="1:19">
      <c r="A100" s="96"/>
      <c r="B100" s="201"/>
      <c r="G100" s="108" t="s">
        <v>245</v>
      </c>
      <c r="H100" s="146">
        <f t="shared" ref="H100:S100" si="19">H49/ABS(H31+0.000001)</f>
        <v>9.9999998000000053E-5</v>
      </c>
      <c r="I100" s="146">
        <f t="shared" si="19"/>
        <v>1.0000000200000004E-4</v>
      </c>
      <c r="J100" s="146">
        <f t="shared" si="19"/>
        <v>1.0000000200000004E-4</v>
      </c>
      <c r="K100" s="146">
        <f t="shared" si="19"/>
        <v>9.9999998000000053E-5</v>
      </c>
      <c r="L100" s="146">
        <f t="shared" si="19"/>
        <v>0</v>
      </c>
      <c r="M100" s="146">
        <f t="shared" si="19"/>
        <v>0</v>
      </c>
      <c r="N100" s="146">
        <f t="shared" si="19"/>
        <v>0</v>
      </c>
      <c r="O100" s="146">
        <f t="shared" si="19"/>
        <v>0</v>
      </c>
      <c r="P100" s="146">
        <f t="shared" si="19"/>
        <v>0</v>
      </c>
      <c r="Q100" s="146">
        <f t="shared" si="19"/>
        <v>0</v>
      </c>
      <c r="R100" s="146">
        <f t="shared" si="19"/>
        <v>0</v>
      </c>
      <c r="S100" s="146">
        <f t="shared" si="19"/>
        <v>0</v>
      </c>
    </row>
    <row r="101" spans="1:19">
      <c r="A101" s="96"/>
      <c r="B101" s="201"/>
      <c r="G101" s="108" t="s">
        <v>245</v>
      </c>
      <c r="H101" s="217">
        <f t="shared" ref="H101:S101" si="20">H47/ABS(H33+0.000001)</f>
        <v>9.9999998000000053E-5</v>
      </c>
      <c r="I101" s="217">
        <f t="shared" si="20"/>
        <v>9.9999998000000053E-5</v>
      </c>
      <c r="J101" s="217">
        <f t="shared" si="20"/>
        <v>1.0000000200000004E-4</v>
      </c>
      <c r="K101" s="217">
        <f t="shared" si="20"/>
        <v>1.0000000200000004E-4</v>
      </c>
      <c r="L101" s="217">
        <f t="shared" si="20"/>
        <v>0</v>
      </c>
      <c r="M101" s="217">
        <f t="shared" si="20"/>
        <v>0</v>
      </c>
      <c r="N101" s="217">
        <f t="shared" si="20"/>
        <v>0</v>
      </c>
      <c r="O101" s="217">
        <f t="shared" si="20"/>
        <v>0</v>
      </c>
      <c r="P101" s="217">
        <f t="shared" si="20"/>
        <v>0</v>
      </c>
      <c r="Q101" s="217">
        <f t="shared" si="20"/>
        <v>0</v>
      </c>
      <c r="R101" s="217">
        <f t="shared" si="20"/>
        <v>0</v>
      </c>
      <c r="S101" s="217">
        <f t="shared" si="20"/>
        <v>0</v>
      </c>
    </row>
    <row r="102" spans="1:19">
      <c r="A102" s="96"/>
      <c r="B102" s="201"/>
      <c r="G102" s="79" t="s">
        <v>243</v>
      </c>
      <c r="H102" s="216">
        <f>IF(MIN(H100,H101)&gt;1,0,MIN(H100,H101))</f>
        <v>9.9999998000000053E-5</v>
      </c>
      <c r="I102" s="216">
        <f t="shared" ref="I102:S102" si="21">IF(MIN(I100,I101)&gt;1,0,MIN(I100,I101))</f>
        <v>9.9999998000000053E-5</v>
      </c>
      <c r="J102" s="216">
        <f t="shared" si="21"/>
        <v>1.0000000200000004E-4</v>
      </c>
      <c r="K102" s="216">
        <f t="shared" si="21"/>
        <v>9.9999998000000053E-5</v>
      </c>
      <c r="L102" s="216">
        <f t="shared" si="21"/>
        <v>0</v>
      </c>
      <c r="M102" s="216">
        <f t="shared" si="21"/>
        <v>0</v>
      </c>
      <c r="N102" s="216">
        <f t="shared" si="21"/>
        <v>0</v>
      </c>
      <c r="O102" s="216">
        <f t="shared" si="21"/>
        <v>0</v>
      </c>
      <c r="P102" s="216">
        <f t="shared" si="21"/>
        <v>0</v>
      </c>
      <c r="Q102" s="216">
        <f t="shared" si="21"/>
        <v>0</v>
      </c>
      <c r="R102" s="216">
        <f t="shared" si="21"/>
        <v>0</v>
      </c>
      <c r="S102" s="216">
        <f t="shared" si="21"/>
        <v>0</v>
      </c>
    </row>
    <row r="103" spans="1:19">
      <c r="A103" s="96"/>
      <c r="B103" s="201"/>
      <c r="H103" s="79" t="s">
        <v>249</v>
      </c>
    </row>
    <row r="104" spans="1:19">
      <c r="A104" s="96"/>
      <c r="B104" s="201"/>
      <c r="G104" s="141" t="s">
        <v>245</v>
      </c>
      <c r="H104" s="79">
        <f t="shared" ref="H104:S104" si="22">H48/ABS(H31+0.000001)</f>
        <v>9.9999998000000053E-5</v>
      </c>
      <c r="I104" s="79">
        <f t="shared" si="22"/>
        <v>1.0000000200000004E-4</v>
      </c>
      <c r="J104" s="79">
        <f t="shared" si="22"/>
        <v>1.0000000200000004E-4</v>
      </c>
      <c r="K104" s="79">
        <f t="shared" si="22"/>
        <v>9.9999998000000053E-5</v>
      </c>
      <c r="L104" s="79">
        <f t="shared" si="22"/>
        <v>0</v>
      </c>
      <c r="M104" s="79">
        <f t="shared" si="22"/>
        <v>0</v>
      </c>
      <c r="N104" s="79">
        <f t="shared" si="22"/>
        <v>0</v>
      </c>
      <c r="O104" s="79">
        <f t="shared" si="22"/>
        <v>0</v>
      </c>
      <c r="P104" s="79">
        <f t="shared" si="22"/>
        <v>0</v>
      </c>
      <c r="Q104" s="79">
        <f t="shared" si="22"/>
        <v>0</v>
      </c>
      <c r="R104" s="79">
        <f t="shared" si="22"/>
        <v>0</v>
      </c>
      <c r="S104" s="79">
        <f t="shared" si="22"/>
        <v>0</v>
      </c>
    </row>
    <row r="105" spans="1:19">
      <c r="A105" s="96"/>
      <c r="B105" s="201"/>
      <c r="G105" s="141" t="s">
        <v>245</v>
      </c>
      <c r="H105" s="79">
        <f t="shared" ref="H105:S105" si="23">H47/ABS(H32+0.000001)</f>
        <v>5000</v>
      </c>
      <c r="I105" s="79">
        <f t="shared" si="23"/>
        <v>5000</v>
      </c>
      <c r="J105" s="79">
        <f t="shared" si="23"/>
        <v>5000</v>
      </c>
      <c r="K105" s="79">
        <f t="shared" si="23"/>
        <v>5000</v>
      </c>
      <c r="L105" s="79">
        <f t="shared" si="23"/>
        <v>0</v>
      </c>
      <c r="M105" s="79">
        <f t="shared" si="23"/>
        <v>0</v>
      </c>
      <c r="N105" s="79">
        <f t="shared" si="23"/>
        <v>0</v>
      </c>
      <c r="O105" s="79">
        <f t="shared" si="23"/>
        <v>0</v>
      </c>
      <c r="P105" s="79">
        <f t="shared" si="23"/>
        <v>0</v>
      </c>
      <c r="Q105" s="79">
        <f t="shared" si="23"/>
        <v>0</v>
      </c>
      <c r="R105" s="79">
        <f t="shared" si="23"/>
        <v>0</v>
      </c>
      <c r="S105" s="79">
        <f t="shared" si="23"/>
        <v>0</v>
      </c>
    </row>
    <row r="106" spans="1:19">
      <c r="A106" s="96"/>
      <c r="B106" s="201"/>
      <c r="G106" s="79" t="s">
        <v>243</v>
      </c>
      <c r="H106" s="216">
        <f>IF(MIN(H104,H105)&gt;1,0,MIN(H104,H105))</f>
        <v>9.9999998000000053E-5</v>
      </c>
      <c r="I106" s="216">
        <f t="shared" ref="I106:S106" si="24">IF(MIN(I104,I105)&gt;1,0,MIN(I104,I105))</f>
        <v>1.0000000200000004E-4</v>
      </c>
      <c r="J106" s="216">
        <f t="shared" si="24"/>
        <v>1.0000000200000004E-4</v>
      </c>
      <c r="K106" s="216">
        <f t="shared" si="24"/>
        <v>9.9999998000000053E-5</v>
      </c>
      <c r="L106" s="216">
        <f t="shared" si="24"/>
        <v>0</v>
      </c>
      <c r="M106" s="216">
        <f t="shared" si="24"/>
        <v>0</v>
      </c>
      <c r="N106" s="216">
        <f t="shared" si="24"/>
        <v>0</v>
      </c>
      <c r="O106" s="216">
        <f t="shared" si="24"/>
        <v>0</v>
      </c>
      <c r="P106" s="216">
        <f t="shared" si="24"/>
        <v>0</v>
      </c>
      <c r="Q106" s="216">
        <f t="shared" si="24"/>
        <v>0</v>
      </c>
      <c r="R106" s="216">
        <f t="shared" si="24"/>
        <v>0</v>
      </c>
      <c r="S106" s="216">
        <f t="shared" si="24"/>
        <v>0</v>
      </c>
    </row>
    <row r="107" spans="1:19">
      <c r="A107" s="96"/>
      <c r="B107" s="201"/>
    </row>
    <row r="108" spans="1:19">
      <c r="G108" s="215" t="s">
        <v>294</v>
      </c>
      <c r="H108" s="215"/>
      <c r="I108" s="215"/>
      <c r="J108" s="215"/>
      <c r="K108" s="215"/>
      <c r="L108" s="215"/>
      <c r="M108" s="215"/>
      <c r="N108" s="215"/>
      <c r="O108" s="215"/>
      <c r="P108" s="215"/>
    </row>
    <row r="109" spans="1:19">
      <c r="H109" s="96" t="s">
        <v>240</v>
      </c>
      <c r="I109" s="96"/>
      <c r="J109" s="96"/>
      <c r="K109" s="96"/>
      <c r="L109" s="96"/>
      <c r="M109" s="96"/>
      <c r="N109" s="96"/>
      <c r="O109" s="96"/>
      <c r="P109" s="96"/>
      <c r="Q109" s="96"/>
      <c r="R109" s="96"/>
      <c r="S109" s="96"/>
    </row>
    <row r="110" spans="1:19">
      <c r="G110" s="141" t="s">
        <v>245</v>
      </c>
      <c r="H110" s="216">
        <f t="shared" ref="H110:S110" si="25">H56/(H33+0.000001)</f>
        <v>0</v>
      </c>
      <c r="I110" s="216">
        <f t="shared" si="25"/>
        <v>0</v>
      </c>
      <c r="J110" s="216">
        <f t="shared" si="25"/>
        <v>0</v>
      </c>
      <c r="K110" s="216">
        <f t="shared" si="25"/>
        <v>0</v>
      </c>
      <c r="L110" s="216">
        <f t="shared" si="25"/>
        <v>0</v>
      </c>
      <c r="M110" s="216">
        <f t="shared" si="25"/>
        <v>0</v>
      </c>
      <c r="N110" s="216">
        <f t="shared" si="25"/>
        <v>0</v>
      </c>
      <c r="O110" s="216">
        <f t="shared" si="25"/>
        <v>0</v>
      </c>
      <c r="P110" s="216">
        <f t="shared" si="25"/>
        <v>0</v>
      </c>
      <c r="Q110" s="216">
        <f t="shared" si="25"/>
        <v>0</v>
      </c>
      <c r="R110" s="216">
        <f t="shared" si="25"/>
        <v>0</v>
      </c>
      <c r="S110" s="216">
        <f t="shared" si="25"/>
        <v>0</v>
      </c>
    </row>
    <row r="111" spans="1:19">
      <c r="G111" s="141" t="s">
        <v>245</v>
      </c>
      <c r="H111" s="218">
        <f t="shared" ref="H111:S111" si="26">H57/(H32+0.000001)</f>
        <v>0</v>
      </c>
      <c r="I111" s="218">
        <f t="shared" si="26"/>
        <v>0</v>
      </c>
      <c r="J111" s="218">
        <f t="shared" si="26"/>
        <v>0</v>
      </c>
      <c r="K111" s="218">
        <f t="shared" si="26"/>
        <v>0</v>
      </c>
      <c r="L111" s="218">
        <f t="shared" si="26"/>
        <v>0</v>
      </c>
      <c r="M111" s="218">
        <f t="shared" si="26"/>
        <v>0</v>
      </c>
      <c r="N111" s="218">
        <f t="shared" si="26"/>
        <v>0</v>
      </c>
      <c r="O111" s="218">
        <f t="shared" si="26"/>
        <v>0</v>
      </c>
      <c r="P111" s="218">
        <f t="shared" si="26"/>
        <v>0</v>
      </c>
      <c r="Q111" s="218">
        <f t="shared" si="26"/>
        <v>0</v>
      </c>
      <c r="R111" s="218">
        <f t="shared" si="26"/>
        <v>0</v>
      </c>
      <c r="S111" s="218">
        <f t="shared" si="26"/>
        <v>0</v>
      </c>
    </row>
    <row r="112" spans="1:19">
      <c r="G112" s="79" t="s">
        <v>244</v>
      </c>
      <c r="H112" s="136">
        <f>SIGN(H110+0.000000000001)*SIGN(H111+0.000000000001)</f>
        <v>1</v>
      </c>
      <c r="I112" s="136">
        <f t="shared" ref="I112:S112" si="27">SIGN(I110+0.000000000001)*SIGN(I111+0.000000000001)</f>
        <v>1</v>
      </c>
      <c r="J112" s="136">
        <f t="shared" si="27"/>
        <v>1</v>
      </c>
      <c r="K112" s="136">
        <f t="shared" si="27"/>
        <v>1</v>
      </c>
      <c r="L112" s="136">
        <f t="shared" si="27"/>
        <v>1</v>
      </c>
      <c r="M112" s="136">
        <f t="shared" si="27"/>
        <v>1</v>
      </c>
      <c r="N112" s="136">
        <f t="shared" si="27"/>
        <v>1</v>
      </c>
      <c r="O112" s="136">
        <f t="shared" si="27"/>
        <v>1</v>
      </c>
      <c r="P112" s="136">
        <f t="shared" si="27"/>
        <v>1</v>
      </c>
      <c r="Q112" s="136">
        <f t="shared" si="27"/>
        <v>1</v>
      </c>
      <c r="R112" s="136">
        <f t="shared" si="27"/>
        <v>1</v>
      </c>
      <c r="S112" s="136">
        <f t="shared" si="27"/>
        <v>1</v>
      </c>
    </row>
    <row r="113" spans="7:19">
      <c r="G113" s="79" t="s">
        <v>243</v>
      </c>
      <c r="H113" s="216">
        <f>IF(H112*MIN(ABS(H110),ABS(H111))&gt;1,0,H112*MIN(ABS(H110),ABS(H111)))</f>
        <v>0</v>
      </c>
      <c r="I113" s="216">
        <f t="shared" ref="I113:S113" si="28">IF(I112*MIN(ABS(I110),ABS(I111))&gt;1,0,I112*MIN(ABS(I110),ABS(I111)))</f>
        <v>0</v>
      </c>
      <c r="J113" s="216">
        <f t="shared" si="28"/>
        <v>0</v>
      </c>
      <c r="K113" s="216">
        <f t="shared" si="28"/>
        <v>0</v>
      </c>
      <c r="L113" s="216">
        <f t="shared" si="28"/>
        <v>0</v>
      </c>
      <c r="M113" s="216">
        <f t="shared" si="28"/>
        <v>0</v>
      </c>
      <c r="N113" s="216">
        <f t="shared" si="28"/>
        <v>0</v>
      </c>
      <c r="O113" s="216">
        <f t="shared" si="28"/>
        <v>0</v>
      </c>
      <c r="P113" s="216">
        <f t="shared" si="28"/>
        <v>0</v>
      </c>
      <c r="Q113" s="216">
        <f t="shared" si="28"/>
        <v>0</v>
      </c>
      <c r="R113" s="216">
        <f t="shared" si="28"/>
        <v>0</v>
      </c>
      <c r="S113" s="216">
        <f t="shared" si="28"/>
        <v>0</v>
      </c>
    </row>
    <row r="114" spans="7:19">
      <c r="H114" s="96" t="s">
        <v>241</v>
      </c>
      <c r="I114" s="96"/>
      <c r="J114" s="96"/>
      <c r="K114" s="96"/>
      <c r="L114" s="96"/>
      <c r="M114" s="96"/>
      <c r="N114" s="96"/>
      <c r="O114" s="96"/>
      <c r="P114" s="96"/>
      <c r="Q114" s="96"/>
      <c r="R114" s="96"/>
      <c r="S114" s="96"/>
    </row>
    <row r="115" spans="7:19">
      <c r="G115" s="108" t="s">
        <v>245</v>
      </c>
      <c r="H115" s="146">
        <f t="shared" ref="H115:S115" si="29">-H57/(H31+0.000001)</f>
        <v>0</v>
      </c>
      <c r="I115" s="146">
        <f t="shared" si="29"/>
        <v>0</v>
      </c>
      <c r="J115" s="146">
        <f t="shared" si="29"/>
        <v>0</v>
      </c>
      <c r="K115" s="146">
        <f t="shared" si="29"/>
        <v>0</v>
      </c>
      <c r="L115" s="146">
        <f t="shared" si="29"/>
        <v>0</v>
      </c>
      <c r="M115" s="146">
        <f t="shared" si="29"/>
        <v>0</v>
      </c>
      <c r="N115" s="146">
        <f t="shared" si="29"/>
        <v>0</v>
      </c>
      <c r="O115" s="146">
        <f t="shared" si="29"/>
        <v>0</v>
      </c>
      <c r="P115" s="146">
        <f t="shared" si="29"/>
        <v>0</v>
      </c>
      <c r="Q115" s="146">
        <f t="shared" si="29"/>
        <v>0</v>
      </c>
      <c r="R115" s="146">
        <f t="shared" si="29"/>
        <v>0</v>
      </c>
      <c r="S115" s="146">
        <f t="shared" si="29"/>
        <v>0</v>
      </c>
    </row>
    <row r="116" spans="7:19">
      <c r="G116" s="108" t="s">
        <v>245</v>
      </c>
      <c r="H116" s="146">
        <f t="shared" ref="H116:S116" si="30">H55/(H33+0.000001)</f>
        <v>0</v>
      </c>
      <c r="I116" s="146">
        <f t="shared" si="30"/>
        <v>0</v>
      </c>
      <c r="J116" s="146">
        <f t="shared" si="30"/>
        <v>0</v>
      </c>
      <c r="K116" s="146">
        <f t="shared" si="30"/>
        <v>0</v>
      </c>
      <c r="L116" s="146">
        <f t="shared" si="30"/>
        <v>0</v>
      </c>
      <c r="M116" s="146">
        <f t="shared" si="30"/>
        <v>0</v>
      </c>
      <c r="N116" s="146">
        <f t="shared" si="30"/>
        <v>0</v>
      </c>
      <c r="O116" s="146">
        <f t="shared" si="30"/>
        <v>0</v>
      </c>
      <c r="P116" s="146">
        <f t="shared" si="30"/>
        <v>0</v>
      </c>
      <c r="Q116" s="146">
        <f t="shared" si="30"/>
        <v>0</v>
      </c>
      <c r="R116" s="146">
        <f t="shared" si="30"/>
        <v>0</v>
      </c>
      <c r="S116" s="146">
        <f t="shared" si="30"/>
        <v>0</v>
      </c>
    </row>
    <row r="117" spans="7:19">
      <c r="G117" s="146" t="s">
        <v>244</v>
      </c>
      <c r="H117" s="219">
        <f>SIGN(H115+0.000000000001)*SIGN(H116+0.000000000001)</f>
        <v>1</v>
      </c>
      <c r="I117" s="219">
        <f t="shared" ref="I117:S117" si="31">SIGN(I115+0.000000000001)*SIGN(I116+0.000000000001)</f>
        <v>1</v>
      </c>
      <c r="J117" s="219">
        <f t="shared" si="31"/>
        <v>1</v>
      </c>
      <c r="K117" s="219">
        <f t="shared" si="31"/>
        <v>1</v>
      </c>
      <c r="L117" s="219">
        <f t="shared" si="31"/>
        <v>1</v>
      </c>
      <c r="M117" s="219">
        <f t="shared" si="31"/>
        <v>1</v>
      </c>
      <c r="N117" s="219">
        <f t="shared" si="31"/>
        <v>1</v>
      </c>
      <c r="O117" s="219">
        <f t="shared" si="31"/>
        <v>1</v>
      </c>
      <c r="P117" s="219">
        <f t="shared" si="31"/>
        <v>1</v>
      </c>
      <c r="Q117" s="219">
        <f t="shared" si="31"/>
        <v>1</v>
      </c>
      <c r="R117" s="219">
        <f t="shared" si="31"/>
        <v>1</v>
      </c>
      <c r="S117" s="219">
        <f t="shared" si="31"/>
        <v>1</v>
      </c>
    </row>
    <row r="118" spans="7:19">
      <c r="G118" s="146" t="s">
        <v>243</v>
      </c>
      <c r="H118" s="220">
        <f>IF(H117*MIN(ABS(H115),ABS(H116))&gt;1,0,H117*MIN(ABS(H115),ABS(H116)))</f>
        <v>0</v>
      </c>
      <c r="I118" s="220">
        <f t="shared" ref="I118:S118" si="32">IF(I117*MIN(ABS(I115),ABS(I116))&gt;1,0,I117*MIN(ABS(I115),ABS(I116)))</f>
        <v>0</v>
      </c>
      <c r="J118" s="220">
        <f t="shared" si="32"/>
        <v>0</v>
      </c>
      <c r="K118" s="220">
        <f t="shared" si="32"/>
        <v>0</v>
      </c>
      <c r="L118" s="220">
        <f t="shared" si="32"/>
        <v>0</v>
      </c>
      <c r="M118" s="220">
        <f t="shared" si="32"/>
        <v>0</v>
      </c>
      <c r="N118" s="220">
        <f t="shared" si="32"/>
        <v>0</v>
      </c>
      <c r="O118" s="220">
        <f t="shared" si="32"/>
        <v>0</v>
      </c>
      <c r="P118" s="220">
        <f t="shared" si="32"/>
        <v>0</v>
      </c>
      <c r="Q118" s="220">
        <f t="shared" si="32"/>
        <v>0</v>
      </c>
      <c r="R118" s="220">
        <f t="shared" si="32"/>
        <v>0</v>
      </c>
      <c r="S118" s="220">
        <f t="shared" si="32"/>
        <v>0</v>
      </c>
    </row>
    <row r="119" spans="7:19">
      <c r="H119" s="96" t="s">
        <v>242</v>
      </c>
      <c r="I119" s="96"/>
      <c r="J119" s="96"/>
      <c r="K119" s="96"/>
      <c r="L119" s="96"/>
      <c r="M119" s="96"/>
      <c r="N119" s="96"/>
      <c r="O119" s="96"/>
      <c r="P119" s="96"/>
      <c r="Q119" s="96"/>
      <c r="R119" s="96"/>
      <c r="S119" s="96"/>
    </row>
    <row r="120" spans="7:19">
      <c r="G120" s="141" t="s">
        <v>245</v>
      </c>
      <c r="H120" s="216">
        <f t="shared" ref="H120:S120" si="33">H56/(H31+0.000001)</f>
        <v>0</v>
      </c>
      <c r="I120" s="216">
        <f t="shared" si="33"/>
        <v>0</v>
      </c>
      <c r="J120" s="216">
        <f t="shared" si="33"/>
        <v>0</v>
      </c>
      <c r="K120" s="216">
        <f t="shared" si="33"/>
        <v>0</v>
      </c>
      <c r="L120" s="216">
        <f t="shared" si="33"/>
        <v>0</v>
      </c>
      <c r="M120" s="216">
        <f t="shared" si="33"/>
        <v>0</v>
      </c>
      <c r="N120" s="216">
        <f t="shared" si="33"/>
        <v>0</v>
      </c>
      <c r="O120" s="216">
        <f t="shared" si="33"/>
        <v>0</v>
      </c>
      <c r="P120" s="216">
        <f t="shared" si="33"/>
        <v>0</v>
      </c>
      <c r="Q120" s="216">
        <f t="shared" si="33"/>
        <v>0</v>
      </c>
      <c r="R120" s="216">
        <f t="shared" si="33"/>
        <v>0</v>
      </c>
      <c r="S120" s="216">
        <f t="shared" si="33"/>
        <v>0</v>
      </c>
    </row>
    <row r="121" spans="7:19">
      <c r="G121" s="141" t="s">
        <v>245</v>
      </c>
      <c r="H121" s="79">
        <f t="shared" ref="H121:S121" si="34">H55/(H32+0.000001)</f>
        <v>0</v>
      </c>
      <c r="I121" s="79">
        <f t="shared" si="34"/>
        <v>0</v>
      </c>
      <c r="J121" s="79">
        <f t="shared" si="34"/>
        <v>0</v>
      </c>
      <c r="K121" s="79">
        <f t="shared" si="34"/>
        <v>0</v>
      </c>
      <c r="L121" s="79">
        <f t="shared" si="34"/>
        <v>0</v>
      </c>
      <c r="M121" s="79">
        <f t="shared" si="34"/>
        <v>0</v>
      </c>
      <c r="N121" s="79">
        <f t="shared" si="34"/>
        <v>0</v>
      </c>
      <c r="O121" s="79">
        <f t="shared" si="34"/>
        <v>0</v>
      </c>
      <c r="P121" s="79">
        <f t="shared" si="34"/>
        <v>0</v>
      </c>
      <c r="Q121" s="79">
        <f t="shared" si="34"/>
        <v>0</v>
      </c>
      <c r="R121" s="79">
        <f t="shared" si="34"/>
        <v>0</v>
      </c>
      <c r="S121" s="79">
        <f t="shared" si="34"/>
        <v>0</v>
      </c>
    </row>
    <row r="122" spans="7:19">
      <c r="G122" s="79" t="s">
        <v>244</v>
      </c>
      <c r="H122" s="136">
        <f>SIGN(H120+0.000000000001)*SIGN(H121+0.000000000001)</f>
        <v>1</v>
      </c>
      <c r="I122" s="136">
        <f t="shared" ref="I122:S122" si="35">SIGN(I120+0.000000000001)*SIGN(I121+0.000000000001)</f>
        <v>1</v>
      </c>
      <c r="J122" s="136">
        <f t="shared" si="35"/>
        <v>1</v>
      </c>
      <c r="K122" s="136">
        <f t="shared" si="35"/>
        <v>1</v>
      </c>
      <c r="L122" s="136">
        <f t="shared" si="35"/>
        <v>1</v>
      </c>
      <c r="M122" s="136">
        <f t="shared" si="35"/>
        <v>1</v>
      </c>
      <c r="N122" s="136">
        <f t="shared" si="35"/>
        <v>1</v>
      </c>
      <c r="O122" s="136">
        <f t="shared" si="35"/>
        <v>1</v>
      </c>
      <c r="P122" s="136">
        <f t="shared" si="35"/>
        <v>1</v>
      </c>
      <c r="Q122" s="136">
        <f t="shared" si="35"/>
        <v>1</v>
      </c>
      <c r="R122" s="136">
        <f t="shared" si="35"/>
        <v>1</v>
      </c>
      <c r="S122" s="136">
        <f t="shared" si="35"/>
        <v>1</v>
      </c>
    </row>
    <row r="123" spans="7:19">
      <c r="G123" s="79" t="s">
        <v>243</v>
      </c>
      <c r="H123" s="216">
        <f>IF(H122*MIN(ABS(H120),ABS(H121))&gt;1,0,H122*MIN(ABS(H120),ABS(H121)))</f>
        <v>0</v>
      </c>
      <c r="I123" s="216">
        <f t="shared" ref="I123:S123" si="36">IF(I122*MIN(ABS(I120),ABS(I121))&gt;1,0,I122*MIN(ABS(I120),ABS(I121)))</f>
        <v>0</v>
      </c>
      <c r="J123" s="216">
        <f t="shared" si="36"/>
        <v>0</v>
      </c>
      <c r="K123" s="216">
        <f t="shared" si="36"/>
        <v>0</v>
      </c>
      <c r="L123" s="216">
        <f t="shared" si="36"/>
        <v>0</v>
      </c>
      <c r="M123" s="216">
        <f t="shared" si="36"/>
        <v>0</v>
      </c>
      <c r="N123" s="216">
        <f t="shared" si="36"/>
        <v>0</v>
      </c>
      <c r="O123" s="216">
        <f t="shared" si="36"/>
        <v>0</v>
      </c>
      <c r="P123" s="216">
        <f t="shared" si="36"/>
        <v>0</v>
      </c>
      <c r="Q123" s="216">
        <f t="shared" si="36"/>
        <v>0</v>
      </c>
      <c r="R123" s="216">
        <f t="shared" si="36"/>
        <v>0</v>
      </c>
      <c r="S123" s="216">
        <f t="shared" si="36"/>
        <v>0</v>
      </c>
    </row>
    <row r="124" spans="7:19">
      <c r="G124" s="141"/>
    </row>
    <row r="125" spans="7:19">
      <c r="H125" s="136"/>
      <c r="I125" s="136"/>
      <c r="J125" s="136"/>
      <c r="K125" s="136"/>
      <c r="L125" s="136"/>
      <c r="M125" s="136"/>
      <c r="N125" s="136"/>
      <c r="O125" s="136"/>
      <c r="P125" s="136"/>
      <c r="Q125" s="136"/>
      <c r="R125" s="136"/>
      <c r="S125" s="136"/>
    </row>
    <row r="126" spans="7:19">
      <c r="H126" s="216"/>
      <c r="I126" s="216"/>
      <c r="J126" s="216"/>
      <c r="K126" s="216"/>
      <c r="L126" s="216"/>
      <c r="M126" s="216"/>
      <c r="N126" s="216"/>
      <c r="O126" s="216"/>
      <c r="P126" s="216"/>
      <c r="Q126" s="216"/>
      <c r="R126" s="216"/>
      <c r="S126" s="216"/>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Summary</vt:lpstr>
      <vt:lpstr>CSs and Loads</vt:lpstr>
      <vt:lpstr>Edit History</vt:lpstr>
      <vt:lpstr>CS_1</vt:lpstr>
      <vt:lpstr>CS_2</vt:lpstr>
      <vt:lpstr>CS_3</vt:lpstr>
      <vt:lpstr>CS_4</vt:lpstr>
      <vt:lpstr>CS_5</vt:lpstr>
      <vt:lpstr>CS_6</vt:lpstr>
      <vt:lpstr>CS_7</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REB</vt:lpstr>
      <vt:lpstr>REBS</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Microsoft Office User</cp:lastModifiedBy>
  <dcterms:created xsi:type="dcterms:W3CDTF">2015-07-18T14:59:20Z</dcterms:created>
  <dcterms:modified xsi:type="dcterms:W3CDTF">2022-06-24T00:47:25Z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