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09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slocum/Dropbox (MIT)/ASML/ASML Precision Machine Design Short Course November 2022/Topic 6 Bearings and Linkages/"/>
    </mc:Choice>
  </mc:AlternateContent>
  <xr:revisionPtr revIDLastSave="0" documentId="13_ncr:1_{33A9F8EC-F9FD-6A4E-AA71-1B5CD14BE4A7}" xr6:coauthVersionLast="47" xr6:coauthVersionMax="47" xr10:uidLastSave="{00000000-0000-0000-0000-000000000000}"/>
  <bookViews>
    <workbookView xWindow="3640" yWindow="640" windowWidth="30040" windowHeight="18900" xr2:uid="{3DCA8D87-1FDF-5E40-9DB7-638DAE01F7B3}"/>
  </bookViews>
  <sheets>
    <sheet name="Sheet1" sheetId="1" r:id="rId1"/>
    <sheet name="Integral" sheetId="2" r:id="rId2"/>
    <sheet name="FEA check" sheetId="3" r:id="rId3"/>
  </sheets>
  <definedNames>
    <definedName name="alphabeam">Sheet1!$C$50</definedName>
    <definedName name="alphabeams">Sheet1!$C$63</definedName>
    <definedName name="alphahg">Sheet1!$C$33</definedName>
    <definedName name="alphasbf">Sheet1!$C$55</definedName>
    <definedName name="alphasbfesb">Sheet1!$C$78</definedName>
    <definedName name="alphasbfiosd">Sheet1!$C$103</definedName>
    <definedName name="alphasbfiusd">Sheet1!$C$90</definedName>
    <definedName name="alphasbfs">Sheet1!$C$66</definedName>
    <definedName name="Aminhg">Sheet1!$C$22</definedName>
    <definedName name="As">Sheet1!$C$17</definedName>
    <definedName name="deltahg">Sheet1!$C$35</definedName>
    <definedName name="deltasb">Sheet1!$C$52</definedName>
    <definedName name="deltasbF">Sheet1!$C$57</definedName>
    <definedName name="deltasbFesb">Sheet1!$C$80</definedName>
    <definedName name="deltasbFiosd">Sheet1!$C$105</definedName>
    <definedName name="deltasbFiusd">Sheet1!$C$92</definedName>
    <definedName name="deltasbFs">Sheet1!$C$68</definedName>
    <definedName name="deltasbs">Sheet1!$C$65</definedName>
    <definedName name="desb">Sheet1!$C$74</definedName>
    <definedName name="dh">Sheet1!$C$19</definedName>
    <definedName name="dhmin">Sheet1!$C$19</definedName>
    <definedName name="diosd">Sheet1!$C$98</definedName>
    <definedName name="diusd">Sheet1!$C$85</definedName>
    <definedName name="Ds">Sheet1!$C$15</definedName>
    <definedName name="dshaft">Sheet1!$C$15</definedName>
    <definedName name="E">Sheet1!$C$7</definedName>
    <definedName name="Faxialbuckle">Sheet1!$C$61</definedName>
    <definedName name="Faxialbuckleiusd">Sheet1!$C$87</definedName>
    <definedName name="Faxialhg">Sheet1!$C$31</definedName>
    <definedName name="Ftip">Sheet1!$C$28</definedName>
    <definedName name="Ftipesb">Sheet1!$C$77</definedName>
    <definedName name="Ftipiosd">Sheet1!$C$102</definedName>
    <definedName name="Ftipiusd">Sheet1!$C$89</definedName>
    <definedName name="Ftipsb">Sheet1!$C$54</definedName>
    <definedName name="Iyyesb">Sheet1!$C$75</definedName>
    <definedName name="Iyyiosd">Sheet1!$C$99</definedName>
    <definedName name="Iyyiusd">Sheet1!$C$86</definedName>
    <definedName name="Iyymin">Sheet1!$C$21</definedName>
    <definedName name="Iyys">Sheet1!$C$16</definedName>
    <definedName name="Kaipiusd">Sheet1!$C$96</definedName>
    <definedName name="khg">Sheet1!$C$39</definedName>
    <definedName name="khgrd">Sheet1!$C$72</definedName>
    <definedName name="khgs">Sheet1!$C$41</definedName>
    <definedName name="kl">Sheet1!$C$11</definedName>
    <definedName name="ks">Sheet1!$C$10</definedName>
    <definedName name="kss">Sheet1!$C$40</definedName>
    <definedName name="ktermad">Sheet1!$G$21</definedName>
    <definedName name="kterman">Sheet1!$G$20</definedName>
    <definedName name="ktermbd">Sheet1!$G$23</definedName>
    <definedName name="ktermbn">Sheet1!$G$22</definedName>
    <definedName name="Ktiphg">Sheet1!$C$36</definedName>
    <definedName name="Ktipiusd">Sheet1!$C$93</definedName>
    <definedName name="Ktipsb">Sheet1!$C$58</definedName>
    <definedName name="Ktipsbs">Sheet1!$C$69</definedName>
    <definedName name="Ls">Sheet1!$C$14</definedName>
    <definedName name="Mmax">Sheet1!$C$29</definedName>
    <definedName name="PFhg">Sheet1!#REF!</definedName>
    <definedName name="rh">Sheet1!$C$20</definedName>
    <definedName name="Rhc">Sheet1!$C$23</definedName>
    <definedName name="rhmin">Sheet1!$C$20</definedName>
    <definedName name="rshaft">Sheet1!$C$16</definedName>
    <definedName name="sigdes">Sheet1!$C$12</definedName>
    <definedName name="sigyield">Sheet1!$C$8</definedName>
    <definedName name="Theta">Sheet1!$C$24</definedName>
    <definedName name="wh">Sheet1!$C$26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17" i="1" l="1"/>
  <c r="C99" i="1"/>
  <c r="C86" i="1"/>
  <c r="C9" i="1"/>
  <c r="C24" i="1"/>
  <c r="C25" i="1" s="1"/>
  <c r="C16" i="1"/>
  <c r="C12" i="1"/>
  <c r="C20" i="1"/>
  <c r="C21" i="1" s="1"/>
  <c r="G20" i="1" l="1"/>
  <c r="G23" i="1"/>
  <c r="G21" i="1"/>
  <c r="G22" i="1"/>
  <c r="C22" i="1"/>
  <c r="C31" i="1" s="1"/>
  <c r="C32" i="1" s="1"/>
  <c r="C28" i="1"/>
  <c r="C115" i="1"/>
  <c r="C116" i="1"/>
  <c r="C117" i="1"/>
  <c r="C118" i="1"/>
  <c r="D115" i="1"/>
  <c r="D116" i="1"/>
  <c r="D117" i="1"/>
  <c r="D118" i="1"/>
  <c r="C26" i="1"/>
  <c r="G26" i="1" l="1"/>
  <c r="C40" i="1" s="1"/>
  <c r="C96" i="1"/>
  <c r="C72" i="1"/>
  <c r="G25" i="1"/>
  <c r="C39" i="1" s="1"/>
  <c r="C89" i="1"/>
  <c r="G27" i="1"/>
  <c r="C41" i="1" s="1"/>
  <c r="C48" i="1"/>
  <c r="C49" i="1" s="1"/>
  <c r="C100" i="1" a="1"/>
  <c r="C100" i="1" s="1"/>
  <c r="C102" i="1"/>
  <c r="C90" i="1"/>
  <c r="C91" i="1" s="1"/>
  <c r="C92" i="1"/>
  <c r="C93" i="1" s="1"/>
  <c r="C54" i="1"/>
  <c r="C57" i="1" s="1"/>
  <c r="C58" i="1" s="1"/>
  <c r="C87" i="1"/>
  <c r="C44" i="1" s="1"/>
  <c r="C74" i="1"/>
  <c r="C75" i="1" s="1"/>
  <c r="C77" i="1" s="1"/>
  <c r="C61" i="1"/>
  <c r="C47" i="1"/>
  <c r="C60" i="1"/>
  <c r="C68" i="1"/>
  <c r="C69" i="1" s="1"/>
  <c r="C66" i="1"/>
  <c r="C67" i="1" s="1" a="1"/>
  <c r="C67" i="1" s="1"/>
  <c r="C65" i="1"/>
  <c r="C63" i="1"/>
  <c r="C64" i="1" s="1"/>
  <c r="C52" i="1"/>
  <c r="C50" i="1"/>
  <c r="C29" i="1"/>
  <c r="C119" i="1"/>
  <c r="D119" i="1"/>
  <c r="C42" i="1" l="1"/>
  <c r="C108" i="1"/>
  <c r="C101" i="1"/>
  <c r="C71" i="1"/>
  <c r="C62" i="1"/>
  <c r="C95" i="1" a="1"/>
  <c r="C95" i="1" s="1"/>
  <c r="C88" i="1"/>
  <c r="C105" i="1"/>
  <c r="C106" i="1" s="1"/>
  <c r="C103" i="1"/>
  <c r="C104" i="1" s="1"/>
  <c r="C55" i="1"/>
  <c r="C56" i="1" s="1"/>
  <c r="C76" i="1"/>
  <c r="C78" i="1" a="1"/>
  <c r="C78" i="1" s="1"/>
  <c r="C79" i="1" s="1" a="1"/>
  <c r="C79" i="1" s="1"/>
  <c r="C80" i="1"/>
  <c r="C81" i="1" s="1" a="1"/>
  <c r="C81" i="1" s="1"/>
  <c r="C51" i="1"/>
  <c r="C120" i="1"/>
  <c r="C121" i="1"/>
  <c r="C33" i="1" l="1"/>
  <c r="C34" i="1" l="1"/>
  <c r="C35" i="1"/>
  <c r="C36" i="1" s="1"/>
  <c r="C38" i="1" s="1"/>
  <c r="C82" i="1" l="1"/>
  <c r="C83" i="1" s="1"/>
  <c r="C45" i="1"/>
  <c r="C107" i="1"/>
  <c r="C94" i="1"/>
  <c r="C37" i="1"/>
  <c r="C7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<sst xmlns="http://schemas.openxmlformats.org/spreadsheetml/2006/main" count="256" uniqueCount="160">
  <si>
    <r>
      <t xml:space="preserve">Inputs in </t>
    </r>
    <r>
      <rPr>
        <b/>
        <sz val="12"/>
        <color theme="1"/>
        <rFont val="Calibri"/>
        <family val="2"/>
        <scheme val="minor"/>
      </rPr>
      <t>BLACK</t>
    </r>
    <r>
      <rPr>
        <sz val="12"/>
        <color theme="1"/>
        <rFont val="Calibri"/>
        <family val="2"/>
        <scheme val="minor"/>
      </rPr>
      <t xml:space="preserve">, Outus in </t>
    </r>
    <r>
      <rPr>
        <b/>
        <sz val="12"/>
        <color rgb="FFFF0000"/>
        <rFont val="Calibri (Body)"/>
      </rPr>
      <t>RED</t>
    </r>
  </si>
  <si>
    <t>mm</t>
  </si>
  <si>
    <t>Hourglass</t>
  </si>
  <si>
    <t>Iyy</t>
  </si>
  <si>
    <t>Iyymin</t>
  </si>
  <si>
    <t>mm^4</t>
  </si>
  <si>
    <t>Yield stress</t>
  </si>
  <si>
    <t>stress concentration</t>
  </si>
  <si>
    <t>ks</t>
  </si>
  <si>
    <t>sigyield</t>
  </si>
  <si>
    <t>infinite life</t>
  </si>
  <si>
    <t>kl</t>
  </si>
  <si>
    <t>design stress</t>
  </si>
  <si>
    <t>sigdes</t>
  </si>
  <si>
    <t>MPa</t>
  </si>
  <si>
    <t>Stinger</t>
  </si>
  <si>
    <t>Ls</t>
  </si>
  <si>
    <t>Diameter</t>
  </si>
  <si>
    <t>N</t>
  </si>
  <si>
    <t>created by Alex Slocum 2022.04.16</t>
  </si>
  <si>
    <t>Radius of hourglass cut</t>
  </si>
  <si>
    <t>Ds</t>
  </si>
  <si>
    <t>Iyys</t>
  </si>
  <si>
    <t>dh</t>
  </si>
  <si>
    <t>rh</t>
  </si>
  <si>
    <t>Root diameter</t>
  </si>
  <si>
    <t>Maximum allowable radial force at tip</t>
  </si>
  <si>
    <t>Ftip</t>
  </si>
  <si>
    <t>Mmax</t>
  </si>
  <si>
    <t>N-mm</t>
  </si>
  <si>
    <t>Theta</t>
  </si>
  <si>
    <t>degrees</t>
  </si>
  <si>
    <t>Rhc</t>
  </si>
  <si>
    <t>wh</t>
  </si>
  <si>
    <t>Modulus of elasticity</t>
  </si>
  <si>
    <t>E</t>
  </si>
  <si>
    <t>terma</t>
  </si>
  <si>
    <t>termb</t>
  </si>
  <si>
    <t>termc</t>
  </si>
  <si>
    <t>termd</t>
  </si>
  <si>
    <t>together</t>
  </si>
  <si>
    <t>to +Theta</t>
  </si>
  <si>
    <t>from -Theta</t>
  </si>
  <si>
    <t>Total</t>
  </si>
  <si>
    <t>alphabeam</t>
  </si>
  <si>
    <t>alphahg</t>
  </si>
  <si>
    <t>slope = M/E*integral(Rdtheta/Iyy(theta)</t>
  </si>
  <si>
    <t>Iyy(theta) = pi*r(theta)^4/4</t>
  </si>
  <si>
    <t>psi</t>
  </si>
  <si>
    <t>radians</t>
  </si>
  <si>
    <t>deltahg</t>
  </si>
  <si>
    <t>deltasb</t>
  </si>
  <si>
    <t>check</t>
  </si>
  <si>
    <t>To help design an hourglass flexure and application to a cantilever (e.g., a stinger to push) with an hourglass at its base</t>
  </si>
  <si>
    <t>Maximum moment that can be applied to hourglass</t>
  </si>
  <si>
    <t>Maximum allowable force or moment</t>
  </si>
  <si>
    <t>Results</t>
  </si>
  <si>
    <t>Hourglass bend angle due to applied moment</t>
  </si>
  <si>
    <t>Radial displacement at beam tip where force applied</t>
  </si>
  <si>
    <t>Slope at end of straight cantilever shaft</t>
  </si>
  <si>
    <t xml:space="preserve">Tip deflection of straight shaft </t>
  </si>
  <si>
    <t>r(theta) _=_rh + R*(1-cos(theta))</t>
  </si>
  <si>
    <t>Materials</t>
  </si>
  <si>
    <t>Moment of inertia at root</t>
  </si>
  <si>
    <t>If max force limited by straight beam IYY</t>
  </si>
  <si>
    <t>Ftipsb</t>
  </si>
  <si>
    <t>alphasbf</t>
  </si>
  <si>
    <t>Length. From tip to center of hourglass</t>
  </si>
  <si>
    <t>Effective stiffness at beam tip</t>
  </si>
  <si>
    <t>Ktiphg</t>
  </si>
  <si>
    <t>N/mm</t>
  </si>
  <si>
    <t>Ktipsb</t>
  </si>
  <si>
    <t>deltasbF</t>
  </si>
  <si>
    <t xml:space="preserve">Comparison: full diameter no-hourglass </t>
  </si>
  <si>
    <t>Maximum axial force due to hourglass minimum cross section</t>
  </si>
  <si>
    <t>Faxialhg</t>
  </si>
  <si>
    <t>Area at root</t>
  </si>
  <si>
    <t>Aminhg</t>
  </si>
  <si>
    <t>mm^2</t>
  </si>
  <si>
    <t>alphabeams</t>
  </si>
  <si>
    <t>deltasbs</t>
  </si>
  <si>
    <t>alphasbfs</t>
  </si>
  <si>
    <t>deltasbFs</t>
  </si>
  <si>
    <t>Ktipsbs</t>
  </si>
  <si>
    <t>Slope at end of straight cantilever shaft of diameter hourglass root</t>
  </si>
  <si>
    <t xml:space="preserve">Tip deflection of the straight shaft </t>
  </si>
  <si>
    <t>Radial tip force applied</t>
  </si>
  <si>
    <t>Faxialbuckle</t>
  </si>
  <si>
    <t>How much more compliant is this small diameter straight beam than the hourglass?</t>
  </si>
  <si>
    <t>Comparison: straight beam with hourglass diameter</t>
  </si>
  <si>
    <t>Inverse design: Find equivelant constant diameter beam with same axial force as hourglass</t>
  </si>
  <si>
    <t>Moment of inertia</t>
  </si>
  <si>
    <t>desb</t>
  </si>
  <si>
    <t>Iyyesb</t>
  </si>
  <si>
    <t>Check max force ratio (should be 1)</t>
  </si>
  <si>
    <t>Ftipesb</t>
  </si>
  <si>
    <t>alphasbfesb</t>
  </si>
  <si>
    <t>deltasbFesb</t>
  </si>
  <si>
    <t>Ideal diameter of straight beam with same axial load capacity of hourglass'd beam</t>
  </si>
  <si>
    <t>Maximum axial force limited by buckling (cantilever)</t>
  </si>
  <si>
    <t>diusd</t>
  </si>
  <si>
    <t>Iyyiusd</t>
  </si>
  <si>
    <t>Faxialbuckleiusd</t>
  </si>
  <si>
    <t>How much less axial force capacity does the straight beam have?</t>
  </si>
  <si>
    <t>How much less axial force capacity does the ideal undersized straight beam have?</t>
  </si>
  <si>
    <t>Ftipiusd</t>
  </si>
  <si>
    <t>alphasbfiusd</t>
  </si>
  <si>
    <t>deltasbFiusd</t>
  </si>
  <si>
    <t>Ktipiusd</t>
  </si>
  <si>
    <t>diosd</t>
  </si>
  <si>
    <t>Iyyiosd</t>
  </si>
  <si>
    <t>Ftipiosd</t>
  </si>
  <si>
    <t>alphasbfiosd</t>
  </si>
  <si>
    <t>deltasbFiosd</t>
  </si>
  <si>
    <t>Ktipiosd</t>
  </si>
  <si>
    <t>How much less compliant is this oversize ideal diameter straight beam than the hourglass?</t>
  </si>
  <si>
    <t>How much more compliant is this undersize ideal diameter straight beam than the hourglass?</t>
  </si>
  <si>
    <t>How much more axial force capacity does the ideal undersized straight beam have?</t>
  </si>
  <si>
    <t>Inverse design 2:  Select nearest precision ground ideal undersize shaft</t>
  </si>
  <si>
    <t>Faxialbucklesb</t>
  </si>
  <si>
    <t>lbf</t>
  </si>
  <si>
    <t>Resulting angle Theta</t>
  </si>
  <si>
    <t>Resulting width of hourglass cut</t>
  </si>
  <si>
    <t>Material</t>
  </si>
  <si>
    <t>17-4 Ph stainess H1025</t>
  </si>
  <si>
    <t>area for stiffness</t>
  </si>
  <si>
    <t>Bending Stiffness intergal</t>
  </si>
  <si>
    <t>Axial stiffness intergal (integral is for compliance so stiffnes invert)</t>
  </si>
  <si>
    <t>ktermad</t>
  </si>
  <si>
    <t>kterman</t>
  </si>
  <si>
    <t>ktermbn</t>
  </si>
  <si>
    <t>ktermbd</t>
  </si>
  <si>
    <t>Compliance of hourglass section</t>
  </si>
  <si>
    <t>Chgs</t>
  </si>
  <si>
    <t>compliance of straight section</t>
  </si>
  <si>
    <t>Area</t>
  </si>
  <si>
    <t>As</t>
  </si>
  <si>
    <t>mm/N</t>
  </si>
  <si>
    <t>Stiffness of hourglass stinger</t>
  </si>
  <si>
    <t>Effective radial stiffness at beam tip</t>
  </si>
  <si>
    <t>Axial stiffness</t>
  </si>
  <si>
    <t>Axial stiffness of hourglass section</t>
  </si>
  <si>
    <t>khgs</t>
  </si>
  <si>
    <t>kss</t>
  </si>
  <si>
    <t>khg</t>
  </si>
  <si>
    <t>Axial stiffness of straight section</t>
  </si>
  <si>
    <t xml:space="preserve">Axial stiffness of hourglass at base rod </t>
  </si>
  <si>
    <t>khgrd</t>
  </si>
  <si>
    <t>Inverse design 3:  Select nearest precision ground ideal oversize shaft</t>
  </si>
  <si>
    <t>Ideal diameter of straight beam with same axial buckling load capacity of hourglass'd beam</t>
  </si>
  <si>
    <t>Kaipiusd</t>
  </si>
  <si>
    <t>How much axially stiffer than rod of hourglass root diameter?</t>
  </si>
  <si>
    <t>How much axially stiffer than standard size rod with same buckling load of hourglass'd beam?</t>
  </si>
  <si>
    <t>More or less radially compliant (better or worse)</t>
  </si>
  <si>
    <t>How much more radially compliant is this ideal small diameter straight beam than the hourglass?</t>
  </si>
  <si>
    <t>Compare to straight rod of standard size with approx equal axial buckling load</t>
  </si>
  <si>
    <t>Axial buckling load of straight rod/hourglass rod</t>
  </si>
  <si>
    <t>How much more radially compliant is hourglass than standard size rod with same buckling load of hourglass'd beam?</t>
  </si>
  <si>
    <t>Hourglass_flexures_cylindrical_rectilinear</t>
  </si>
  <si>
    <t>How much more radially compliant is hourglass than cylindrical beam?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</si>
</sst>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0.000"/>
    <numFmt numFmtId="165" formatCode="0.0"/>
    <numFmt numFmtId="166" formatCode="_(* #,##0_);_(* \(#,##0\);_(* &quot;-&quot;??_);_(@_)"/>
    <numFmt numFmtId="167" formatCode="_(* #,##0.0_);_(* \(#,##0.0\);_(* &quot;-&quot;??_);_(@_)"/>
  </numFmts>
  <fonts count="7" x14ac:knownFonts="1"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 (Body)"/>
    </font>
    <font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u/>
      <sz val="12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4" fillId="0" borderId="0" applyFont="0" applyFill="0" applyBorder="0" applyAlignment="0" applyProtection="0"/>
    <xf numFmtId="0" fontId="6" fillId="0" borderId="0" applyNumberFormat="0" applyFill="0" applyBorder="0" applyAlignment="0" applyProtection="0"/>
  </cellStyleXfs>
  <cellXfs count="36">
    <xf numFmtId="0" fontId="0" fillId="0" borderId="0" xfId="0"/>
    <xf numFmtId="0" fontId="2" fillId="0" borderId="1" xfId="0" applyFont="1" applyBorder="1"/>
    <xf numFmtId="0" fontId="0" fillId="0" borderId="1" xfId="0" applyBorder="1"/>
    <xf numFmtId="0" fontId="0" fillId="0" borderId="1" xfId="0" applyBorder="1" applyAlignment="1">
      <alignment horizontal="left" indent="1"/>
    </xf>
    <xf numFmtId="11" fontId="5" fillId="0" borderId="1" xfId="0" applyNumberFormat="1" applyFont="1" applyBorder="1"/>
    <xf numFmtId="166" fontId="5" fillId="0" borderId="1" xfId="1" applyNumberFormat="1" applyFont="1" applyFill="1" applyBorder="1"/>
    <xf numFmtId="2" fontId="5" fillId="0" borderId="1" xfId="0" applyNumberFormat="1" applyFont="1" applyBorder="1"/>
    <xf numFmtId="165" fontId="5" fillId="0" borderId="1" xfId="0" applyNumberFormat="1" applyFont="1" applyBorder="1"/>
    <xf numFmtId="0" fontId="5" fillId="0" borderId="1" xfId="0" applyFont="1" applyBorder="1"/>
    <xf numFmtId="164" fontId="5" fillId="0" borderId="1" xfId="0" applyNumberFormat="1" applyFont="1" applyBorder="1"/>
    <xf numFmtId="0" fontId="2" fillId="0" borderId="1" xfId="0" applyFont="1" applyBorder="1" applyAlignment="1">
      <alignment horizontal="left"/>
    </xf>
    <xf numFmtId="1" fontId="5" fillId="0" borderId="1" xfId="0" applyNumberFormat="1" applyFont="1" applyBorder="1"/>
    <xf numFmtId="0" fontId="0" fillId="0" borderId="1" xfId="0" applyBorder="1" applyAlignment="1">
      <alignment horizontal="left" vertical="top" wrapText="1" indent="1"/>
    </xf>
    <xf numFmtId="0" fontId="2" fillId="0" borderId="1" xfId="0" applyFont="1" applyBorder="1" applyAlignment="1">
      <alignment horizontal="left" indent="1"/>
    </xf>
    <xf numFmtId="0" fontId="0" fillId="0" borderId="1" xfId="0" applyBorder="1" applyAlignment="1">
      <alignment horizontal="left" indent="2"/>
    </xf>
    <xf numFmtId="0" fontId="0" fillId="0" borderId="1" xfId="0" applyBorder="1" applyAlignment="1">
      <alignment horizontal="left" vertical="top" wrapText="1" indent="2"/>
    </xf>
    <xf numFmtId="0" fontId="2" fillId="0" borderId="1" xfId="0" applyFont="1" applyBorder="1" applyAlignment="1">
      <alignment horizontal="left" vertical="top" wrapText="1"/>
    </xf>
    <xf numFmtId="0" fontId="1" fillId="0" borderId="1" xfId="0" applyFont="1" applyBorder="1"/>
    <xf numFmtId="0" fontId="5" fillId="0" borderId="1" xfId="0" applyFont="1" applyBorder="1" applyAlignment="1">
      <alignment horizontal="center"/>
    </xf>
    <xf numFmtId="164" fontId="1" fillId="0" borderId="1" xfId="0" applyNumberFormat="1" applyFont="1" applyBorder="1"/>
    <xf numFmtId="11" fontId="2" fillId="0" borderId="1" xfId="0" applyNumberFormat="1" applyFont="1" applyBorder="1"/>
    <xf numFmtId="0" fontId="6" fillId="0" borderId="0" xfId="2"/>
    <xf numFmtId="2" fontId="0" fillId="0" borderId="1" xfId="0" applyNumberFormat="1" applyBorder="1"/>
    <xf numFmtId="11" fontId="0" fillId="0" borderId="1" xfId="0" applyNumberFormat="1" applyBorder="1"/>
    <xf numFmtId="0" fontId="0" fillId="2" borderId="1" xfId="0" applyFill="1" applyBorder="1"/>
    <xf numFmtId="2" fontId="5" fillId="2" borderId="1" xfId="0" applyNumberFormat="1" applyFont="1" applyFill="1" applyBorder="1"/>
    <xf numFmtId="0" fontId="0" fillId="2" borderId="1" xfId="0" applyFill="1" applyBorder="1" applyAlignment="1">
      <alignment horizontal="left" vertical="top" wrapText="1" indent="2"/>
    </xf>
    <xf numFmtId="2" fontId="5" fillId="2" borderId="1" xfId="0" applyNumberFormat="1" applyFont="1" applyFill="1" applyBorder="1" applyAlignment="1">
      <alignment horizontal="center"/>
    </xf>
    <xf numFmtId="0" fontId="0" fillId="0" borderId="1" xfId="0" applyBorder="1" applyAlignment="1">
      <alignment horizontal="left" vertical="top" wrapText="1"/>
    </xf>
    <xf numFmtId="0" fontId="2" fillId="0" borderId="1" xfId="0" applyFont="1" applyBorder="1" applyAlignment="1">
      <alignment horizontal="center"/>
    </xf>
    <xf numFmtId="0" fontId="0" fillId="0" borderId="1" xfId="0" applyFill="1" applyBorder="1" applyAlignment="1">
      <alignment horizontal="left" vertical="top" indent="1"/>
    </xf>
    <xf numFmtId="0" fontId="0" fillId="0" borderId="1" xfId="0" applyFill="1" applyBorder="1"/>
    <xf numFmtId="2" fontId="5" fillId="0" borderId="1" xfId="0" applyNumberFormat="1" applyFont="1" applyFill="1" applyBorder="1"/>
    <xf numFmtId="0" fontId="0" fillId="0" borderId="1" xfId="0" applyFill="1" applyBorder="1" applyAlignment="1">
      <alignment horizontal="left" vertical="top" wrapText="1" indent="1"/>
    </xf>
    <xf numFmtId="167" fontId="5" fillId="0" borderId="1" xfId="1" applyNumberFormat="1" applyFont="1" applyFill="1" applyBorder="1"/>
    <xf numFmtId="0" fontId="0" fillId="0" borderId="1" xfId="0" applyFill="1" applyBorder="1" applyAlignment="1">
      <alignment horizontal="left" vertical="top" wrapText="1" indent="2"/>
    </xf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805962</xdr:colOff>
      <xdr:row>3</xdr:row>
      <xdr:rowOff>48847</xdr:rowOff>
    </xdr:from>
    <xdr:to>
      <xdr:col>13</xdr:col>
      <xdr:colOff>58127</xdr:colOff>
      <xdr:row>15</xdr:row>
      <xdr:rowOff>72294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2F21982-7E7F-6F45-B5A5-57FAB931BF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965962" y="720482"/>
          <a:ext cx="7543800" cy="25146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596900</xdr:colOff>
      <xdr:row>0</xdr:row>
      <xdr:rowOff>0</xdr:rowOff>
    </xdr:from>
    <xdr:to>
      <xdr:col>19</xdr:col>
      <xdr:colOff>114300</xdr:colOff>
      <xdr:row>40</xdr:row>
      <xdr:rowOff>17848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CA43DE5-C52E-684A-B47C-BB0C0AFA6B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026400" y="0"/>
          <a:ext cx="7772400" cy="8145848"/>
        </a:xfrm>
        <a:prstGeom prst="rect">
          <a:avLst/>
        </a:prstGeom>
      </xdr:spPr>
    </xdr:pic>
    <xdr:clientData/>
  </xdr:twoCellAnchor>
  <xdr:twoCellAnchor editAs="oneCell">
    <xdr:from>
      <xdr:col>3</xdr:col>
      <xdr:colOff>127000</xdr:colOff>
      <xdr:row>24</xdr:row>
      <xdr:rowOff>152400</xdr:rowOff>
    </xdr:from>
    <xdr:to>
      <xdr:col>12</xdr:col>
      <xdr:colOff>241300</xdr:colOff>
      <xdr:row>37</xdr:row>
      <xdr:rowOff>25400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2FDABCA-39EC-41F9-7BC0-94CB561743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603500" y="5029200"/>
          <a:ext cx="7543800" cy="25146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575BED-6558-0747-A227-379C8706519F}">
  <dimension ref="A1:H123"/>
  <sheetViews>
    <sheetView tabSelected="1" zoomScale="104" workbookViewId="0">
      <selection activeCell="C63" sqref="C63"/>
    </sheetView>
  </sheetViews>
  <sheetFormatPr baseColWidth="10" defaultRowHeight="16" x14ac:dyDescent="0.2"/>
  <cols>
    <col min="1" max="1" width="69.5" style="2" customWidth="1"/>
    <col min="2" max="2" width="13.5" style="2" customWidth="1"/>
    <col min="3" max="3" width="12.1640625" style="1" bestFit="1" customWidth="1"/>
    <col min="4" max="5" width="10.83203125" style="2"/>
    <col min="6" max="6" width="30.33203125" style="2" customWidth="1"/>
    <col min="7" max="7" width="13.1640625" style="2" bestFit="1" customWidth="1"/>
    <col min="8" max="16384" width="10.83203125" style="2"/>
  </cols>
  <sheetData>
    <row r="1" spans="1:4" x14ac:dyDescent="0.2">
      <c r="A1" s="1" t="s">
        <v>158</v>
      </c>
    </row>
    <row r="2" spans="1:4" x14ac:dyDescent="0.2">
      <c r="A2" s="2" t="s">
        <v>19</v>
      </c>
    </row>
    <row r="3" spans="1:4" ht="20" customHeight="1" x14ac:dyDescent="0.2">
      <c r="A3" s="28" t="s">
        <v>53</v>
      </c>
      <c r="B3" s="28"/>
      <c r="C3" s="28"/>
      <c r="D3" s="28"/>
    </row>
    <row r="4" spans="1:4" x14ac:dyDescent="0.2">
      <c r="A4" s="2" t="s">
        <v>0</v>
      </c>
    </row>
    <row r="5" spans="1:4" x14ac:dyDescent="0.2">
      <c r="A5" s="1" t="s">
        <v>62</v>
      </c>
    </row>
    <row r="6" spans="1:4" x14ac:dyDescent="0.2">
      <c r="A6" s="1" t="s">
        <v>123</v>
      </c>
      <c r="B6" s="29" t="s">
        <v>124</v>
      </c>
      <c r="C6" s="29"/>
    </row>
    <row r="7" spans="1:4" x14ac:dyDescent="0.2">
      <c r="A7" s="3" t="s">
        <v>34</v>
      </c>
      <c r="B7" s="2" t="s">
        <v>35</v>
      </c>
      <c r="C7" s="20">
        <v>69000</v>
      </c>
    </row>
    <row r="8" spans="1:4" x14ac:dyDescent="0.2">
      <c r="A8" s="3" t="s">
        <v>6</v>
      </c>
      <c r="B8" s="2" t="s">
        <v>9</v>
      </c>
      <c r="C8" s="1">
        <v>275</v>
      </c>
      <c r="D8" s="2" t="s">
        <v>14</v>
      </c>
    </row>
    <row r="9" spans="1:4" x14ac:dyDescent="0.2">
      <c r="A9" s="3"/>
      <c r="C9" s="5">
        <f>sigyield/6.9*1000</f>
        <v>39855.07246376812</v>
      </c>
      <c r="D9" s="2" t="s">
        <v>48</v>
      </c>
    </row>
    <row r="10" spans="1:4" x14ac:dyDescent="0.2">
      <c r="A10" s="3" t="s">
        <v>7</v>
      </c>
      <c r="B10" s="2" t="s">
        <v>8</v>
      </c>
      <c r="C10" s="1">
        <v>1.5</v>
      </c>
    </row>
    <row r="11" spans="1:4" x14ac:dyDescent="0.2">
      <c r="A11" s="3" t="s">
        <v>10</v>
      </c>
      <c r="B11" s="2" t="s">
        <v>11</v>
      </c>
      <c r="C11" s="1">
        <v>2</v>
      </c>
    </row>
    <row r="12" spans="1:4" x14ac:dyDescent="0.2">
      <c r="A12" s="3" t="s">
        <v>12</v>
      </c>
      <c r="B12" s="2" t="s">
        <v>13</v>
      </c>
      <c r="C12" s="6">
        <f>sigyield/ks/kl</f>
        <v>91.666666666666671</v>
      </c>
      <c r="D12" s="2" t="s">
        <v>14</v>
      </c>
    </row>
    <row r="13" spans="1:4" x14ac:dyDescent="0.2">
      <c r="A13" s="1" t="s">
        <v>15</v>
      </c>
    </row>
    <row r="14" spans="1:4" x14ac:dyDescent="0.2">
      <c r="A14" s="3" t="s">
        <v>67</v>
      </c>
      <c r="B14" s="2" t="s">
        <v>16</v>
      </c>
      <c r="C14" s="1">
        <v>64</v>
      </c>
      <c r="D14" s="2" t="s">
        <v>1</v>
      </c>
    </row>
    <row r="15" spans="1:4" x14ac:dyDescent="0.2">
      <c r="A15" s="3" t="s">
        <v>17</v>
      </c>
      <c r="B15" s="2" t="s">
        <v>21</v>
      </c>
      <c r="C15" s="1">
        <v>4</v>
      </c>
      <c r="D15" s="2" t="s">
        <v>1</v>
      </c>
    </row>
    <row r="16" spans="1:4" x14ac:dyDescent="0.2">
      <c r="A16" s="3" t="s">
        <v>3</v>
      </c>
      <c r="B16" s="2" t="s">
        <v>22</v>
      </c>
      <c r="C16" s="7">
        <f>PI()*Ds^4/64</f>
        <v>12.566370614359172</v>
      </c>
      <c r="D16" s="2" t="s">
        <v>5</v>
      </c>
    </row>
    <row r="17" spans="1:8" x14ac:dyDescent="0.2">
      <c r="A17" s="3" t="s">
        <v>135</v>
      </c>
      <c r="B17" s="2" t="s">
        <v>136</v>
      </c>
      <c r="C17" s="7">
        <f>PI()*Ds^2/4</f>
        <v>12.566370614359172</v>
      </c>
      <c r="D17" s="2" t="s">
        <v>78</v>
      </c>
    </row>
    <row r="18" spans="1:8" x14ac:dyDescent="0.2">
      <c r="A18" s="1" t="s">
        <v>2</v>
      </c>
    </row>
    <row r="19" spans="1:8" x14ac:dyDescent="0.2">
      <c r="A19" s="3" t="s">
        <v>25</v>
      </c>
      <c r="B19" s="2" t="s">
        <v>23</v>
      </c>
      <c r="C19" s="1">
        <v>2.08</v>
      </c>
      <c r="D19" s="2" t="s">
        <v>1</v>
      </c>
    </row>
    <row r="20" spans="1:8" x14ac:dyDescent="0.2">
      <c r="A20" s="3"/>
      <c r="B20" s="2" t="s">
        <v>24</v>
      </c>
      <c r="C20" s="8">
        <f>dhmin/2</f>
        <v>1.04</v>
      </c>
      <c r="D20" s="2" t="s">
        <v>1</v>
      </c>
      <c r="F20" s="2" t="s">
        <v>129</v>
      </c>
      <c r="G20" s="22">
        <f>2*(rh+Rhc)*ATAN(SQRT(rh+2*Rhc)*TAN(Theta/2)/SQRT(rh))</f>
        <v>17.451110044087535</v>
      </c>
    </row>
    <row r="21" spans="1:8" x14ac:dyDescent="0.2">
      <c r="A21" s="3" t="s">
        <v>63</v>
      </c>
      <c r="B21" s="2" t="s">
        <v>4</v>
      </c>
      <c r="C21" s="6">
        <f>PI()*rhmin^4/4</f>
        <v>0.91880476445878367</v>
      </c>
      <c r="D21" s="2" t="s">
        <v>5</v>
      </c>
      <c r="F21" s="2" t="s">
        <v>128</v>
      </c>
      <c r="G21" s="22">
        <f>rh^1.5*(rh+2*Rhc)^1.5</f>
        <v>102.35725067215564</v>
      </c>
    </row>
    <row r="22" spans="1:8" x14ac:dyDescent="0.2">
      <c r="A22" s="3" t="s">
        <v>76</v>
      </c>
      <c r="B22" s="2" t="s">
        <v>77</v>
      </c>
      <c r="C22" s="6">
        <f>PI()*rh^2</f>
        <v>3.3979466141227208</v>
      </c>
      <c r="D22" s="2" t="s">
        <v>78</v>
      </c>
      <c r="F22" s="2" t="s">
        <v>130</v>
      </c>
      <c r="G22" s="22">
        <f>Rhc*SIN(Theta)</f>
        <v>4.2753245490839618</v>
      </c>
    </row>
    <row r="23" spans="1:8" x14ac:dyDescent="0.2">
      <c r="A23" s="3" t="s">
        <v>20</v>
      </c>
      <c r="B23" s="2" t="s">
        <v>32</v>
      </c>
      <c r="C23" s="1">
        <v>10</v>
      </c>
      <c r="D23" s="2" t="s">
        <v>1</v>
      </c>
      <c r="F23" s="2" t="s">
        <v>131</v>
      </c>
      <c r="G23" s="22">
        <f>rh*(rh+2*Rhc)*(rh-Rhc*COS(Theta)+Rhc)</f>
        <v>43.763199999999998</v>
      </c>
    </row>
    <row r="24" spans="1:8" x14ac:dyDescent="0.2">
      <c r="A24" s="3" t="s">
        <v>121</v>
      </c>
      <c r="B24" s="2" t="s">
        <v>30</v>
      </c>
      <c r="C24" s="9">
        <f>ACOS(1-(Ds-dh)/(2*Rhc))</f>
        <v>0.44176142415005848</v>
      </c>
      <c r="D24" s="2" t="s">
        <v>49</v>
      </c>
      <c r="F24" s="2" t="s">
        <v>132</v>
      </c>
    </row>
    <row r="25" spans="1:8" x14ac:dyDescent="0.2">
      <c r="A25" s="3"/>
      <c r="C25" s="9">
        <f>DEGREES(C24)</f>
        <v>25.31106515548699</v>
      </c>
      <c r="D25" s="2" t="s">
        <v>31</v>
      </c>
      <c r="F25" s="2" t="s">
        <v>133</v>
      </c>
      <c r="G25" s="23">
        <f>2/(PI()*E)*Rhc*(kterman/ktermad+ktermbn/ktermbd)</f>
        <v>2.4743694575191433E-5</v>
      </c>
      <c r="H25" s="2" t="s">
        <v>137</v>
      </c>
    </row>
    <row r="26" spans="1:8" x14ac:dyDescent="0.2">
      <c r="A26" s="3" t="s">
        <v>122</v>
      </c>
      <c r="B26" s="2" t="s">
        <v>33</v>
      </c>
      <c r="C26" s="6">
        <f>2*Rhc*SIN(C24)</f>
        <v>8.5506490981679235</v>
      </c>
      <c r="D26" s="2" t="s">
        <v>1</v>
      </c>
      <c r="F26" s="2" t="s">
        <v>134</v>
      </c>
      <c r="G26" s="23">
        <f>(Ls-wh/1)/(As*E)</f>
        <v>6.394955280625812E-5</v>
      </c>
      <c r="H26" s="2" t="s">
        <v>137</v>
      </c>
    </row>
    <row r="27" spans="1:8" x14ac:dyDescent="0.2">
      <c r="A27" s="10" t="s">
        <v>55</v>
      </c>
      <c r="C27" s="6"/>
      <c r="F27" s="2" t="s">
        <v>138</v>
      </c>
      <c r="G27" s="23">
        <f>1/(G25+G26)</f>
        <v>11274.815496372872</v>
      </c>
      <c r="H27" s="2" t="s">
        <v>70</v>
      </c>
    </row>
    <row r="28" spans="1:8" x14ac:dyDescent="0.2">
      <c r="A28" s="3" t="s">
        <v>26</v>
      </c>
      <c r="B28" s="2" t="s">
        <v>27</v>
      </c>
      <c r="C28" s="6">
        <f>sigdes*Iyymin/(Ls*rhmin)</f>
        <v>1.2653811609884089</v>
      </c>
      <c r="D28" s="2" t="s">
        <v>18</v>
      </c>
    </row>
    <row r="29" spans="1:8" x14ac:dyDescent="0.2">
      <c r="A29" s="3" t="s">
        <v>54</v>
      </c>
      <c r="B29" s="2" t="s">
        <v>28</v>
      </c>
      <c r="C29" s="7">
        <f>Ftip*Ls</f>
        <v>80.984394303258171</v>
      </c>
      <c r="D29" s="2" t="s">
        <v>29</v>
      </c>
    </row>
    <row r="30" spans="1:8" x14ac:dyDescent="0.2">
      <c r="A30" s="10" t="s">
        <v>56</v>
      </c>
    </row>
    <row r="31" spans="1:8" x14ac:dyDescent="0.2">
      <c r="A31" s="3" t="s">
        <v>74</v>
      </c>
      <c r="B31" s="2" t="s">
        <v>75</v>
      </c>
      <c r="C31" s="11">
        <f>Aminhg*sigdes</f>
        <v>311.47843962791609</v>
      </c>
      <c r="D31" s="2" t="s">
        <v>18</v>
      </c>
    </row>
    <row r="32" spans="1:8" x14ac:dyDescent="0.2">
      <c r="A32" s="3"/>
      <c r="C32" s="11">
        <f>Faxialhg/4.44822</f>
        <v>70.023164238260719</v>
      </c>
      <c r="D32" s="2" t="s">
        <v>120</v>
      </c>
    </row>
    <row r="33" spans="1:4" x14ac:dyDescent="0.2">
      <c r="A33" s="3" t="s">
        <v>57</v>
      </c>
      <c r="B33" s="2" t="s">
        <v>45</v>
      </c>
      <c r="C33" s="4">
        <f>4*Mmax/(PI()*E)*C121</f>
        <v>5.5197456141615735E-3</v>
      </c>
      <c r="D33" s="2" t="s">
        <v>49</v>
      </c>
    </row>
    <row r="34" spans="1:4" x14ac:dyDescent="0.2">
      <c r="C34" s="6">
        <f>DEGREES(alphahg)</f>
        <v>0.31625812767730471</v>
      </c>
      <c r="D34" s="2" t="s">
        <v>31</v>
      </c>
    </row>
    <row r="35" spans="1:4" x14ac:dyDescent="0.2">
      <c r="A35" s="3" t="s">
        <v>58</v>
      </c>
      <c r="B35" s="2" t="s">
        <v>50</v>
      </c>
      <c r="C35" s="6">
        <f>Ls*alphahg</f>
        <v>0.35326371930634071</v>
      </c>
      <c r="D35" s="2" t="s">
        <v>1</v>
      </c>
    </row>
    <row r="36" spans="1:4" x14ac:dyDescent="0.2">
      <c r="A36" s="3" t="s">
        <v>139</v>
      </c>
      <c r="B36" s="2" t="s">
        <v>69</v>
      </c>
      <c r="C36" s="6">
        <f>Ftip/deltahg</f>
        <v>3.5819731600886664</v>
      </c>
      <c r="D36" s="2" t="s">
        <v>70</v>
      </c>
    </row>
    <row r="37" spans="1:4" s="31" customFormat="1" ht="19" customHeight="1" x14ac:dyDescent="0.2">
      <c r="A37" s="30" t="s">
        <v>159</v>
      </c>
      <c r="C37" s="32">
        <f>Ktipsb/Ktiphg</f>
        <v>2.2817421358980181</v>
      </c>
    </row>
    <row r="38" spans="1:4" s="31" customFormat="1" ht="38" customHeight="1" x14ac:dyDescent="0.2">
      <c r="A38" s="33" t="s">
        <v>157</v>
      </c>
      <c r="C38" s="32">
        <f>C81/Ktiphg</f>
        <v>1.5469140759296904</v>
      </c>
    </row>
    <row r="39" spans="1:4" ht="19" customHeight="1" x14ac:dyDescent="0.2">
      <c r="A39" s="12" t="s">
        <v>141</v>
      </c>
      <c r="B39" s="2" t="s">
        <v>144</v>
      </c>
      <c r="C39" s="4">
        <f>1/G25</f>
        <v>40414.33654789054</v>
      </c>
      <c r="D39" s="2" t="s">
        <v>70</v>
      </c>
    </row>
    <row r="40" spans="1:4" ht="19" customHeight="1" x14ac:dyDescent="0.2">
      <c r="A40" s="12" t="s">
        <v>145</v>
      </c>
      <c r="B40" s="2" t="s">
        <v>143</v>
      </c>
      <c r="C40" s="5">
        <f>1/G26</f>
        <v>15637.325925164871</v>
      </c>
      <c r="D40" s="2" t="s">
        <v>70</v>
      </c>
    </row>
    <row r="41" spans="1:4" ht="19" customHeight="1" x14ac:dyDescent="0.2">
      <c r="A41" s="12" t="s">
        <v>146</v>
      </c>
      <c r="B41" s="2" t="s">
        <v>142</v>
      </c>
      <c r="C41" s="5">
        <f>G27</f>
        <v>11274.815496372872</v>
      </c>
      <c r="D41" s="2" t="s">
        <v>70</v>
      </c>
    </row>
    <row r="42" spans="1:4" s="31" customFormat="1" ht="19" customHeight="1" x14ac:dyDescent="0.2">
      <c r="A42" s="33" t="s">
        <v>151</v>
      </c>
      <c r="C42" s="34">
        <f>khgs/khgrd</f>
        <v>3.2832773823062755</v>
      </c>
    </row>
    <row r="43" spans="1:4" s="31" customFormat="1" ht="19" customHeight="1" x14ac:dyDescent="0.2">
      <c r="A43" s="33" t="s">
        <v>155</v>
      </c>
      <c r="C43" s="34"/>
    </row>
    <row r="44" spans="1:4" s="31" customFormat="1" ht="19" customHeight="1" x14ac:dyDescent="0.2">
      <c r="A44" s="35" t="s">
        <v>156</v>
      </c>
      <c r="C44" s="34">
        <f>Faxialbuckleiusd/Faxialhg</f>
        <v>0.86463454532860817</v>
      </c>
    </row>
    <row r="45" spans="1:4" s="31" customFormat="1" ht="36" customHeight="1" x14ac:dyDescent="0.2">
      <c r="A45" s="33" t="s">
        <v>152</v>
      </c>
      <c r="C45" s="34">
        <f>Ktipiusd/Ktiphg</f>
        <v>1.337515348703892</v>
      </c>
    </row>
    <row r="46" spans="1:4" x14ac:dyDescent="0.2">
      <c r="A46" s="10" t="s">
        <v>73</v>
      </c>
    </row>
    <row r="47" spans="1:4" x14ac:dyDescent="0.2">
      <c r="A47" s="3" t="s">
        <v>86</v>
      </c>
      <c r="B47" s="2" t="s">
        <v>27</v>
      </c>
      <c r="C47" s="6">
        <f>Ftip</f>
        <v>1.2653811609884089</v>
      </c>
      <c r="D47" s="2" t="s">
        <v>18</v>
      </c>
    </row>
    <row r="48" spans="1:4" x14ac:dyDescent="0.2">
      <c r="A48" s="3" t="s">
        <v>99</v>
      </c>
      <c r="B48" s="2" t="s">
        <v>119</v>
      </c>
      <c r="C48" s="11">
        <f>2.47*E*Iyys/(Ls+wh/2)^2</f>
        <v>459.43953266806136</v>
      </c>
      <c r="D48" s="2" t="s">
        <v>18</v>
      </c>
    </row>
    <row r="49" spans="1:4" x14ac:dyDescent="0.2">
      <c r="A49" s="3"/>
      <c r="C49" s="11">
        <f>C48/4.44822</f>
        <v>103.28615326311679</v>
      </c>
      <c r="D49" s="2" t="s">
        <v>120</v>
      </c>
    </row>
    <row r="50" spans="1:4" x14ac:dyDescent="0.2">
      <c r="A50" s="3" t="s">
        <v>59</v>
      </c>
      <c r="B50" s="2" t="s">
        <v>44</v>
      </c>
      <c r="C50" s="4">
        <f>Ftip*(Ls+wh/2)^2/(2*E*Iyys)</f>
        <v>3.4014176462906754E-3</v>
      </c>
      <c r="D50" s="2" t="s">
        <v>49</v>
      </c>
    </row>
    <row r="51" spans="1:4" x14ac:dyDescent="0.2">
      <c r="C51" s="6">
        <f>DEGREES(alphabeam)</f>
        <v>0.19488687549377798</v>
      </c>
      <c r="D51" s="2" t="s">
        <v>31</v>
      </c>
    </row>
    <row r="52" spans="1:4" x14ac:dyDescent="0.2">
      <c r="A52" s="3" t="s">
        <v>60</v>
      </c>
      <c r="B52" s="2" t="s">
        <v>51</v>
      </c>
      <c r="C52" s="6">
        <f>Ftip*(Ls+wh/2)^3/(3*E*Iyys)</f>
        <v>0.15482192915165141</v>
      </c>
      <c r="D52" s="2" t="s">
        <v>1</v>
      </c>
    </row>
    <row r="53" spans="1:4" x14ac:dyDescent="0.2">
      <c r="A53" s="13" t="s">
        <v>64</v>
      </c>
    </row>
    <row r="54" spans="1:4" x14ac:dyDescent="0.2">
      <c r="A54" s="14" t="s">
        <v>86</v>
      </c>
      <c r="B54" s="2" t="s">
        <v>65</v>
      </c>
      <c r="C54" s="6">
        <f>sigdes*Iyys/((Ls+wh/2)*Ds/2)</f>
        <v>8.4358244645774629</v>
      </c>
      <c r="D54" s="2" t="s">
        <v>18</v>
      </c>
    </row>
    <row r="55" spans="1:4" x14ac:dyDescent="0.2">
      <c r="A55" s="14" t="s">
        <v>59</v>
      </c>
      <c r="B55" s="2" t="s">
        <v>66</v>
      </c>
      <c r="C55" s="4">
        <f>Ftipsb*(Ls+wh/2)^2/(2*E*Iyys)</f>
        <v>2.2675983394925228E-2</v>
      </c>
      <c r="D55" s="2" t="s">
        <v>49</v>
      </c>
    </row>
    <row r="56" spans="1:4" x14ac:dyDescent="0.2">
      <c r="A56" s="14" t="s">
        <v>60</v>
      </c>
      <c r="C56" s="6">
        <f>DEGREES(alphasbf)</f>
        <v>1.2992381448379517</v>
      </c>
      <c r="D56" s="2" t="s">
        <v>31</v>
      </c>
    </row>
    <row r="57" spans="1:4" x14ac:dyDescent="0.2">
      <c r="B57" s="2" t="s">
        <v>72</v>
      </c>
      <c r="C57" s="6">
        <f>Ftipsb*(Ls+wh/2)^3/(3*E*Iyys)</f>
        <v>1.0321400838387724</v>
      </c>
      <c r="D57" s="2" t="s">
        <v>1</v>
      </c>
    </row>
    <row r="58" spans="1:4" x14ac:dyDescent="0.2">
      <c r="A58" s="14" t="s">
        <v>68</v>
      </c>
      <c r="B58" s="2" t="s">
        <v>71</v>
      </c>
      <c r="C58" s="6">
        <f>Ftipsb/deltasbF</f>
        <v>8.1731390890300872</v>
      </c>
      <c r="D58" s="2" t="s">
        <v>70</v>
      </c>
    </row>
    <row r="59" spans="1:4" x14ac:dyDescent="0.2">
      <c r="A59" s="10" t="s">
        <v>89</v>
      </c>
      <c r="C59" s="6"/>
    </row>
    <row r="60" spans="1:4" x14ac:dyDescent="0.2">
      <c r="A60" s="3" t="s">
        <v>86</v>
      </c>
      <c r="B60" s="2" t="s">
        <v>27</v>
      </c>
      <c r="C60" s="6">
        <f>Ftip</f>
        <v>1.2653811609884089</v>
      </c>
      <c r="D60" s="2" t="s">
        <v>18</v>
      </c>
    </row>
    <row r="61" spans="1:4" x14ac:dyDescent="0.2">
      <c r="A61" s="3" t="s">
        <v>99</v>
      </c>
      <c r="B61" s="2" t="s">
        <v>87</v>
      </c>
      <c r="C61" s="11">
        <f>2.47*E*Iyymin/(Ls+wh/2)^2</f>
        <v>33.592454380883204</v>
      </c>
      <c r="D61" s="2" t="s">
        <v>18</v>
      </c>
    </row>
    <row r="62" spans="1:4" x14ac:dyDescent="0.2">
      <c r="A62" s="3"/>
      <c r="C62" s="11">
        <f>Faxialbuckle/4.44822</f>
        <v>7.5518869077705695</v>
      </c>
      <c r="D62" s="2" t="s">
        <v>120</v>
      </c>
    </row>
    <row r="63" spans="1:4" x14ac:dyDescent="0.2">
      <c r="A63" s="3" t="s">
        <v>84</v>
      </c>
      <c r="B63" s="2" t="s">
        <v>79</v>
      </c>
      <c r="C63" s="4">
        <f>Ftip*(Ls+wh/2)^2/(2*E*Iyymin)</f>
        <v>4.6520736951867751E-2</v>
      </c>
      <c r="D63" s="2" t="s">
        <v>49</v>
      </c>
    </row>
    <row r="64" spans="1:4" x14ac:dyDescent="0.2">
      <c r="C64" s="6">
        <f>DEGREES(alphabeams)</f>
        <v>2.6654418871803163</v>
      </c>
      <c r="D64" s="2" t="s">
        <v>31</v>
      </c>
    </row>
    <row r="65" spans="1:4" x14ac:dyDescent="0.2">
      <c r="A65" s="3" t="s">
        <v>85</v>
      </c>
      <c r="B65" s="2" t="s">
        <v>80</v>
      </c>
      <c r="C65" s="6">
        <f>Ftip*(Ls+wh/2)^3/(3*E*Iyymin)</f>
        <v>2.1174789424342224</v>
      </c>
      <c r="D65" s="2" t="s">
        <v>1</v>
      </c>
    </row>
    <row r="66" spans="1:4" x14ac:dyDescent="0.2">
      <c r="A66" s="14" t="s">
        <v>59</v>
      </c>
      <c r="B66" s="2" t="s">
        <v>81</v>
      </c>
      <c r="C66" s="4">
        <f>Ftip*(Ls+wh/2)^2/(2*E*Iyymin)</f>
        <v>4.6520736951867751E-2</v>
      </c>
      <c r="D66" s="2" t="s">
        <v>49</v>
      </c>
    </row>
    <row r="67" spans="1:4" x14ac:dyDescent="0.2">
      <c r="C67" s="6" cm="1">
        <f t="array" ref="C67">DEGREES(alphasbfs)</f>
        <v>2.6654418871803163</v>
      </c>
      <c r="D67" s="2" t="s">
        <v>31</v>
      </c>
    </row>
    <row r="68" spans="1:4" x14ac:dyDescent="0.2">
      <c r="A68" s="14" t="s">
        <v>60</v>
      </c>
      <c r="B68" s="2" t="s">
        <v>82</v>
      </c>
      <c r="C68" s="6">
        <f>Ftip*(Ls+wh/2)^3/(3*E*Iyymin)</f>
        <v>2.1174789424342224</v>
      </c>
      <c r="D68" s="2" t="s">
        <v>1</v>
      </c>
    </row>
    <row r="69" spans="1:4" x14ac:dyDescent="0.2">
      <c r="A69" s="14" t="s">
        <v>68</v>
      </c>
      <c r="B69" s="2" t="s">
        <v>83</v>
      </c>
      <c r="C69" s="6">
        <f>Ftip/deltasbFs</f>
        <v>0.59758854533577821</v>
      </c>
      <c r="D69" s="2" t="s">
        <v>70</v>
      </c>
    </row>
    <row r="70" spans="1:4" ht="34" x14ac:dyDescent="0.2">
      <c r="A70" s="15" t="s">
        <v>88</v>
      </c>
      <c r="C70" s="6">
        <f>Ktiphg/Ktipsbs</f>
        <v>5.9940458833192602</v>
      </c>
    </row>
    <row r="71" spans="1:4" x14ac:dyDescent="0.2">
      <c r="A71" s="14" t="s">
        <v>103</v>
      </c>
      <c r="C71" s="6">
        <f>Faxialhg/Faxialbuckle</f>
        <v>9.2722739486749823</v>
      </c>
    </row>
    <row r="72" spans="1:4" x14ac:dyDescent="0.2">
      <c r="A72" s="14" t="s">
        <v>140</v>
      </c>
      <c r="B72" s="2" t="s">
        <v>147</v>
      </c>
      <c r="C72" s="5">
        <f>PI()*rh^2*E/(Ls+wh/2)</f>
        <v>3434.0124770247385</v>
      </c>
      <c r="D72" s="2" t="s">
        <v>70</v>
      </c>
    </row>
    <row r="73" spans="1:4" x14ac:dyDescent="0.2">
      <c r="A73" s="10" t="s">
        <v>90</v>
      </c>
      <c r="C73" s="2"/>
    </row>
    <row r="74" spans="1:4" x14ac:dyDescent="0.2">
      <c r="A74" s="3" t="s">
        <v>149</v>
      </c>
      <c r="B74" s="2" t="s">
        <v>92</v>
      </c>
      <c r="C74" s="6">
        <f>(Faxialhg/(2.47*E*PI()/64/(Ls+wh/2)^2))^0.25</f>
        <v>3.6296094630921125</v>
      </c>
      <c r="D74" s="2" t="s">
        <v>1</v>
      </c>
    </row>
    <row r="75" spans="1:4" x14ac:dyDescent="0.2">
      <c r="A75" s="14" t="s">
        <v>91</v>
      </c>
      <c r="B75" s="2" t="s">
        <v>93</v>
      </c>
      <c r="C75" s="6">
        <f>PI()*desb^4/64</f>
        <v>8.5194094814096317</v>
      </c>
      <c r="D75" s="2" t="s">
        <v>5</v>
      </c>
    </row>
    <row r="76" spans="1:4" x14ac:dyDescent="0.2">
      <c r="A76" s="14" t="s">
        <v>94</v>
      </c>
      <c r="C76" s="11">
        <f>Faxialhg/(2.47*E*Iyyesb/(Ls+wh/2)^2)</f>
        <v>1</v>
      </c>
      <c r="D76" s="2" t="s">
        <v>18</v>
      </c>
    </row>
    <row r="77" spans="1:4" x14ac:dyDescent="0.2">
      <c r="A77" s="3" t="s">
        <v>26</v>
      </c>
      <c r="B77" s="2" t="s">
        <v>95</v>
      </c>
      <c r="C77" s="6">
        <f>sigdes*Iyyesb/((Ls+wh/2)*desb/2)</f>
        <v>6.302708999122677</v>
      </c>
      <c r="D77" s="2" t="s">
        <v>18</v>
      </c>
    </row>
    <row r="78" spans="1:4" x14ac:dyDescent="0.2">
      <c r="A78" s="14" t="s">
        <v>59</v>
      </c>
      <c r="B78" s="2" t="s">
        <v>96</v>
      </c>
      <c r="C78" s="4" cm="1">
        <f t="array" ref="C78">Ftipesb*(Ls+wh/2)^2/(2*E*Iyyesb)</f>
        <v>2.4989998098150494E-2</v>
      </c>
      <c r="D78" s="2" t="s">
        <v>49</v>
      </c>
    </row>
    <row r="79" spans="1:4" x14ac:dyDescent="0.2">
      <c r="C79" s="6" cm="1">
        <f t="array" ref="C79">DEGREES(alphasbfesb)</f>
        <v>1.4318214210639773</v>
      </c>
      <c r="D79" s="2" t="s">
        <v>31</v>
      </c>
    </row>
    <row r="80" spans="1:4" x14ac:dyDescent="0.2">
      <c r="A80" s="14" t="s">
        <v>60</v>
      </c>
      <c r="B80" s="2" t="s">
        <v>97</v>
      </c>
      <c r="C80" s="6">
        <f>Ftipesb*(Ls+wh/2)^3/(3*E*Iyyesb)</f>
        <v>1.1374668204214775</v>
      </c>
      <c r="D80" s="2" t="s">
        <v>1</v>
      </c>
    </row>
    <row r="81" spans="1:4" x14ac:dyDescent="0.2">
      <c r="A81" s="14" t="s">
        <v>68</v>
      </c>
      <c r="B81" s="2" t="s">
        <v>83</v>
      </c>
      <c r="C81" s="6" cm="1">
        <f t="array" ref="C81">Ftipesb/deltasbFesb</f>
        <v>5.5410047009435122</v>
      </c>
      <c r="D81" s="2" t="s">
        <v>70</v>
      </c>
    </row>
    <row r="82" spans="1:4" ht="34" x14ac:dyDescent="0.2">
      <c r="A82" s="26" t="s">
        <v>154</v>
      </c>
      <c r="B82" s="24"/>
      <c r="C82" s="25">
        <f>Ktiphg/C81</f>
        <v>0.64644831639986422</v>
      </c>
      <c r="D82" s="24"/>
    </row>
    <row r="83" spans="1:4" ht="17" x14ac:dyDescent="0.2">
      <c r="A83" s="26" t="s">
        <v>153</v>
      </c>
      <c r="B83" s="24"/>
      <c r="C83" s="27" t="str">
        <f>IF(C82&lt;1,"Worse","Better")</f>
        <v>Worse</v>
      </c>
      <c r="D83" s="24"/>
    </row>
    <row r="84" spans="1:4" ht="17" x14ac:dyDescent="0.2">
      <c r="A84" s="16" t="s">
        <v>118</v>
      </c>
      <c r="C84" s="6"/>
    </row>
    <row r="85" spans="1:4" x14ac:dyDescent="0.2">
      <c r="A85" s="3" t="s">
        <v>98</v>
      </c>
      <c r="B85" s="2" t="s">
        <v>100</v>
      </c>
      <c r="C85" s="6">
        <v>3.5</v>
      </c>
      <c r="D85" s="2" t="s">
        <v>1</v>
      </c>
    </row>
    <row r="86" spans="1:4" x14ac:dyDescent="0.2">
      <c r="A86" s="14" t="s">
        <v>91</v>
      </c>
      <c r="B86" s="2" t="s">
        <v>101</v>
      </c>
      <c r="C86" s="6">
        <f>PI()*diusd^4/64</f>
        <v>7.3661757434268491</v>
      </c>
      <c r="D86" s="2" t="s">
        <v>5</v>
      </c>
    </row>
    <row r="87" spans="1:4" x14ac:dyDescent="0.2">
      <c r="A87" s="3" t="s">
        <v>99</v>
      </c>
      <c r="B87" s="2" t="s">
        <v>102</v>
      </c>
      <c r="C87" s="11">
        <f>2.47*E*Iyyiusd/(Ls+wh/2)^2</f>
        <v>269.31501902734755</v>
      </c>
      <c r="D87" s="2" t="s">
        <v>18</v>
      </c>
    </row>
    <row r="88" spans="1:4" x14ac:dyDescent="0.2">
      <c r="A88" s="3"/>
      <c r="C88" s="11">
        <f>Faxialbuckleiusd/4.44822</f>
        <v>60.544446773619008</v>
      </c>
      <c r="D88" s="2" t="s">
        <v>120</v>
      </c>
    </row>
    <row r="89" spans="1:4" x14ac:dyDescent="0.2">
      <c r="A89" s="3" t="s">
        <v>26</v>
      </c>
      <c r="B89" s="2" t="s">
        <v>105</v>
      </c>
      <c r="C89" s="6">
        <f>sigdes*Iyyiusd/((Ls+wh/2)*diusd/2)</f>
        <v>5.6513433424806054</v>
      </c>
      <c r="D89" s="2" t="s">
        <v>18</v>
      </c>
    </row>
    <row r="90" spans="1:4" x14ac:dyDescent="0.2">
      <c r="A90" s="14" t="s">
        <v>59</v>
      </c>
      <c r="B90" s="2" t="s">
        <v>106</v>
      </c>
      <c r="C90" s="4">
        <f>Ftipiusd*(Ls+wh/2)^2/(2*E*Iyyiusd)</f>
        <v>2.5915409594200262E-2</v>
      </c>
      <c r="D90" s="2" t="s">
        <v>49</v>
      </c>
    </row>
    <row r="91" spans="1:4" x14ac:dyDescent="0.2">
      <c r="C91" s="6">
        <f>DEGREES(alphasbfiusd)</f>
        <v>1.4848435941005165</v>
      </c>
      <c r="D91" s="2" t="s">
        <v>31</v>
      </c>
    </row>
    <row r="92" spans="1:4" x14ac:dyDescent="0.2">
      <c r="A92" s="14" t="s">
        <v>60</v>
      </c>
      <c r="B92" s="2" t="s">
        <v>107</v>
      </c>
      <c r="C92" s="6">
        <f>Ftipiusd*(Ls+wh/2)^3/(3*E*Iyyiusd)</f>
        <v>1.1795886672443114</v>
      </c>
      <c r="D92" s="2" t="s">
        <v>1</v>
      </c>
    </row>
    <row r="93" spans="1:4" x14ac:dyDescent="0.2">
      <c r="A93" s="14" t="s">
        <v>68</v>
      </c>
      <c r="B93" s="2" t="s">
        <v>108</v>
      </c>
      <c r="C93" s="6">
        <f>Ftipiusd/deltasbFiusd</f>
        <v>4.7909440802639747</v>
      </c>
      <c r="D93" s="2" t="s">
        <v>70</v>
      </c>
    </row>
    <row r="94" spans="1:4" ht="34" x14ac:dyDescent="0.2">
      <c r="A94" s="15" t="s">
        <v>116</v>
      </c>
      <c r="C94" s="6">
        <f>Ktiphg/Ktipiusd</f>
        <v>0.74765497156278737</v>
      </c>
    </row>
    <row r="95" spans="1:4" x14ac:dyDescent="0.2">
      <c r="A95" s="14" t="s">
        <v>104</v>
      </c>
      <c r="C95" s="6" cm="1">
        <f t="array" ref="C95">Faxialhg/Faxialbuckleiusd</f>
        <v>1.1565579994492883</v>
      </c>
      <c r="D95" s="17"/>
    </row>
    <row r="96" spans="1:4" x14ac:dyDescent="0.2">
      <c r="A96" s="14" t="s">
        <v>140</v>
      </c>
      <c r="B96" s="2" t="s">
        <v>150</v>
      </c>
      <c r="C96" s="5">
        <f>E*PI()*diusd^2/(4*(Ls+wh/2))</f>
        <v>9723.2463118419546</v>
      </c>
      <c r="D96" s="2" t="s">
        <v>70</v>
      </c>
    </row>
    <row r="97" spans="1:4" ht="17" x14ac:dyDescent="0.2">
      <c r="A97" s="16" t="s">
        <v>148</v>
      </c>
      <c r="C97" s="6"/>
    </row>
    <row r="98" spans="1:4" x14ac:dyDescent="0.2">
      <c r="A98" s="3" t="s">
        <v>98</v>
      </c>
      <c r="B98" s="2" t="s">
        <v>109</v>
      </c>
      <c r="C98" s="6">
        <v>4</v>
      </c>
      <c r="D98" s="2" t="s">
        <v>1</v>
      </c>
    </row>
    <row r="99" spans="1:4" x14ac:dyDescent="0.2">
      <c r="A99" s="14" t="s">
        <v>91</v>
      </c>
      <c r="B99" s="2" t="s">
        <v>110</v>
      </c>
      <c r="C99" s="6">
        <f>PI()*diosd^4/64</f>
        <v>12.566370614359172</v>
      </c>
      <c r="D99" s="2" t="s">
        <v>5</v>
      </c>
    </row>
    <row r="100" spans="1:4" x14ac:dyDescent="0.2">
      <c r="A100" s="3" t="s">
        <v>99</v>
      </c>
      <c r="B100" s="2" t="s">
        <v>102</v>
      </c>
      <c r="C100" s="11" cm="1">
        <f t="array" ref="C100">2.47*E*Iyyiosd/(Ls+wh/2)^2</f>
        <v>459.43953266806136</v>
      </c>
      <c r="D100" s="2" t="s">
        <v>18</v>
      </c>
    </row>
    <row r="101" spans="1:4" x14ac:dyDescent="0.2">
      <c r="A101" s="3"/>
      <c r="C101" s="11">
        <f>C100/4.44822</f>
        <v>103.28615326311679</v>
      </c>
      <c r="D101" s="2" t="s">
        <v>120</v>
      </c>
    </row>
    <row r="102" spans="1:4" x14ac:dyDescent="0.2">
      <c r="A102" s="3" t="s">
        <v>26</v>
      </c>
      <c r="B102" s="2" t="s">
        <v>111</v>
      </c>
      <c r="C102" s="6">
        <f>sigdes*Iyyiosd/((Ls+wh/2)*diosd/2)</f>
        <v>8.4358244645774629</v>
      </c>
      <c r="D102" s="2" t="s">
        <v>18</v>
      </c>
    </row>
    <row r="103" spans="1:4" x14ac:dyDescent="0.2">
      <c r="A103" s="14" t="s">
        <v>59</v>
      </c>
      <c r="B103" s="2" t="s">
        <v>112</v>
      </c>
      <c r="C103" s="4">
        <f>Ftipiosd*(Ls+wh/2)^2/(2*E*Iyyiosd)</f>
        <v>2.2675983394925228E-2</v>
      </c>
      <c r="D103" s="2" t="s">
        <v>49</v>
      </c>
    </row>
    <row r="104" spans="1:4" x14ac:dyDescent="0.2">
      <c r="C104" s="6">
        <f>DEGREES(alphasbfiosd)</f>
        <v>1.2992381448379517</v>
      </c>
      <c r="D104" s="2" t="s">
        <v>31</v>
      </c>
    </row>
    <row r="105" spans="1:4" x14ac:dyDescent="0.2">
      <c r="A105" s="14" t="s">
        <v>60</v>
      </c>
      <c r="B105" s="2" t="s">
        <v>113</v>
      </c>
      <c r="C105" s="6">
        <f>Ftipiosd*(Ls+wh/2)^3/(3*E*Iyyiosd)</f>
        <v>1.0321400838387724</v>
      </c>
      <c r="D105" s="2" t="s">
        <v>1</v>
      </c>
    </row>
    <row r="106" spans="1:4" x14ac:dyDescent="0.2">
      <c r="A106" s="14" t="s">
        <v>68</v>
      </c>
      <c r="B106" s="2" t="s">
        <v>114</v>
      </c>
      <c r="C106" s="6">
        <f>Ftipiosd/deltasbFiosd</f>
        <v>8.1731390890300872</v>
      </c>
      <c r="D106" s="2" t="s">
        <v>70</v>
      </c>
    </row>
    <row r="107" spans="1:4" ht="34" x14ac:dyDescent="0.2">
      <c r="A107" s="15" t="s">
        <v>115</v>
      </c>
      <c r="C107" s="6">
        <f>Ktiphg/Ktipiusd</f>
        <v>0.74765497156278737</v>
      </c>
    </row>
    <row r="108" spans="1:4" x14ac:dyDescent="0.2">
      <c r="A108" s="14" t="s">
        <v>117</v>
      </c>
      <c r="C108" s="6">
        <f>C100/Faxialhg</f>
        <v>1.4750283622099034</v>
      </c>
      <c r="D108" s="17"/>
    </row>
    <row r="109" spans="1:4" x14ac:dyDescent="0.2">
      <c r="A109" s="14"/>
      <c r="C109" s="6"/>
      <c r="D109" s="17"/>
    </row>
    <row r="110" spans="1:4" x14ac:dyDescent="0.2">
      <c r="A110" s="14"/>
      <c r="C110" s="6"/>
      <c r="D110" s="17"/>
    </row>
    <row r="111" spans="1:4" x14ac:dyDescent="0.2">
      <c r="A111" s="14"/>
      <c r="C111" s="6"/>
      <c r="D111" s="17"/>
    </row>
    <row r="112" spans="1:4" x14ac:dyDescent="0.2">
      <c r="A112" s="14"/>
      <c r="C112" s="6"/>
      <c r="D112" s="17"/>
    </row>
    <row r="113" spans="1:4" x14ac:dyDescent="0.2">
      <c r="A113" s="14"/>
      <c r="C113" s="6"/>
      <c r="D113" s="17"/>
    </row>
    <row r="114" spans="1:4" x14ac:dyDescent="0.2">
      <c r="A114" s="2" t="s">
        <v>126</v>
      </c>
      <c r="C114" s="8" t="s">
        <v>42</v>
      </c>
      <c r="D114" s="8" t="s">
        <v>41</v>
      </c>
    </row>
    <row r="115" spans="1:4" x14ac:dyDescent="0.2">
      <c r="A115" s="2" t="s">
        <v>36</v>
      </c>
      <c r="C115" s="9">
        <f>5*Rhc*(rh+Rhc)*SIN(-Theta)/(6*rh^2*(rh+2*Rhc)^2*(rh-Rhc*COS(-Theta)+Rhc)^2)</f>
        <v>-2.0537083789799838E-2</v>
      </c>
      <c r="D115" s="9">
        <f>5*Rhc*(rh+Rhc)*SIN(Theta)/(6*rh^2*(rh+2*Rhc)^2*(rh-Rhc*COS(Theta)+Rhc)^2)</f>
        <v>2.0537083789799838E-2</v>
      </c>
    </row>
    <row r="116" spans="1:4" x14ac:dyDescent="0.2">
      <c r="A116" s="2" t="s">
        <v>37</v>
      </c>
      <c r="C116" s="9">
        <f>Rhc*(11*rh^2+22*rh*Rhc+15*Rhc^2)*SIN(-Theta)/(6*rh^3*(rh+2*Rhc)^3*(rh-Rhc*COS(-Theta)+Rhc))</f>
        <v>-5.9193490315043798E-2</v>
      </c>
      <c r="D116" s="9">
        <f>Rhc*(11*rh^2+22*rh*Rhc+15*Rhc^2)*SIN(Theta)/(6*rh^3*(rh+2*Rhc)^3*(rh-Rhc*COS(Theta)+Rhc))</f>
        <v>5.9193490315043798E-2</v>
      </c>
    </row>
    <row r="117" spans="1:4" x14ac:dyDescent="0.2">
      <c r="A117" s="2" t="s">
        <v>38</v>
      </c>
      <c r="C117" s="9">
        <f>(2*rh^3+6*rh^2*Rhc+9*rh*Rhc^2+5*Rhc^3)*ATAN( SQRT(rh+2*Rhc)*TAN(-Theta/2)/SQRT(rh) )/(rh^3.5*(rh+2*Rhc)^3.5)</f>
        <v>-9.6811313483200406E-2</v>
      </c>
      <c r="D117" s="9">
        <f>(2*rh^3+6*rh^2*Rhc+9*rh*Rhc^2+5*Rhc^3)*ATAN( SQRT(rh+2*Rhc)*TAN(Theta/2)/SQRT(rh) )/(rh^3.5*(rh+2*Rhc)^3.5)</f>
        <v>9.6811313483200406E-2</v>
      </c>
    </row>
    <row r="118" spans="1:4" x14ac:dyDescent="0.2">
      <c r="A118" s="2" t="s">
        <v>39</v>
      </c>
      <c r="C118" s="9">
        <f>Rhc*SIN(-Theta)/(3*rh*(rh+2*Rhc)*(rh-Rhc*COS(-Theta)+Rhc)^3)</f>
        <v>-8.141019069834856E-3</v>
      </c>
      <c r="D118" s="9">
        <f>Rhc*SIN(Theta)/(3*rh*(rh+2*Rhc)*(rh-Rhc*COS(Theta)+Rhc)^3)</f>
        <v>8.141019069834856E-3</v>
      </c>
    </row>
    <row r="119" spans="1:4" x14ac:dyDescent="0.2">
      <c r="A119" s="2" t="s">
        <v>40</v>
      </c>
      <c r="C119" s="9">
        <f>Rhc*(C115+C116+C117+C118)</f>
        <v>-1.846829066578789</v>
      </c>
      <c r="D119" s="9">
        <f>Rhc*(D115+D116+D117+D118)</f>
        <v>1.846829066578789</v>
      </c>
    </row>
    <row r="120" spans="1:4" x14ac:dyDescent="0.2">
      <c r="A120" s="2" t="s">
        <v>52</v>
      </c>
      <c r="C120" s="18" t="str">
        <f>IF(C119=-D119,"CORRECT","INCORRECT")</f>
        <v>CORRECT</v>
      </c>
      <c r="D120" s="19"/>
    </row>
    <row r="121" spans="1:4" x14ac:dyDescent="0.2">
      <c r="A121" s="2" t="s">
        <v>43</v>
      </c>
      <c r="C121" s="9">
        <f>D119-C119</f>
        <v>3.693658133157578</v>
      </c>
    </row>
    <row r="123" spans="1:4" x14ac:dyDescent="0.2">
      <c r="A123" s="2" t="s">
        <v>127</v>
      </c>
    </row>
  </sheetData>
  <mergeCells count="2">
    <mergeCell ref="A3:D3"/>
    <mergeCell ref="B6:C6"/>
  </mergeCells>
  <pageMargins left="0.7" right="0.7" top="0.75" bottom="0.75" header="0.3" footer="0.3"/>
  <pageSetup orientation="portrait" horizontalDpi="0" verticalDpi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CCA966-F15C-0540-BC9C-213E97DE91BC}">
  <dimension ref="A3:F20"/>
  <sheetViews>
    <sheetView topLeftCell="A3" workbookViewId="0">
      <selection activeCell="E20" sqref="E20"/>
    </sheetView>
  </sheetViews>
  <sheetFormatPr baseColWidth="10" defaultRowHeight="16" x14ac:dyDescent="0.2"/>
  <sheetData>
    <row r="3" spans="1:1" x14ac:dyDescent="0.2">
      <c r="A3" t="s">
        <v>46</v>
      </c>
    </row>
    <row r="6" spans="1:1" x14ac:dyDescent="0.2">
      <c r="A6" t="s">
        <v>47</v>
      </c>
    </row>
    <row r="9" spans="1:1" x14ac:dyDescent="0.2">
      <c r="A9" t="s">
        <v>61</v>
      </c>
    </row>
    <row r="12" spans="1:1" x14ac:dyDescent="0.2">
      <c r="A12" t="s">
        <v>125</v>
      </c>
    </row>
    <row r="20" spans="6:6" x14ac:dyDescent="0.2">
      <c r="F20" s="21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1D5D60-EB20-7848-B0F7-60030D48F64E}">
  <dimension ref="A1"/>
  <sheetViews>
    <sheetView workbookViewId="0">
      <selection activeCell="E30" sqref="E30"/>
    </sheetView>
  </sheetViews>
  <sheetFormatPr baseColWidth="10" defaultRowHeight="16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64</vt:i4>
      </vt:variant>
    </vt:vector>
  </HeadingPairs>
  <TitlesOfParts>
    <vt:vector size="67" baseType="lpstr">
      <vt:lpstr>Sheet1</vt:lpstr>
      <vt:lpstr>Integral</vt:lpstr>
      <vt:lpstr>FEA check</vt:lpstr>
      <vt:lpstr>alphabeam</vt:lpstr>
      <vt:lpstr>alphabeams</vt:lpstr>
      <vt:lpstr>alphahg</vt:lpstr>
      <vt:lpstr>alphasbf</vt:lpstr>
      <vt:lpstr>alphasbfesb</vt:lpstr>
      <vt:lpstr>alphasbfiosd</vt:lpstr>
      <vt:lpstr>alphasbfiusd</vt:lpstr>
      <vt:lpstr>alphasbfs</vt:lpstr>
      <vt:lpstr>Aminhg</vt:lpstr>
      <vt:lpstr>As</vt:lpstr>
      <vt:lpstr>deltahg</vt:lpstr>
      <vt:lpstr>deltasb</vt:lpstr>
      <vt:lpstr>deltasbF</vt:lpstr>
      <vt:lpstr>deltasbFesb</vt:lpstr>
      <vt:lpstr>deltasbFiosd</vt:lpstr>
      <vt:lpstr>deltasbFiusd</vt:lpstr>
      <vt:lpstr>deltasbFs</vt:lpstr>
      <vt:lpstr>deltasbs</vt:lpstr>
      <vt:lpstr>desb</vt:lpstr>
      <vt:lpstr>dh</vt:lpstr>
      <vt:lpstr>dhmin</vt:lpstr>
      <vt:lpstr>diosd</vt:lpstr>
      <vt:lpstr>diusd</vt:lpstr>
      <vt:lpstr>Ds</vt:lpstr>
      <vt:lpstr>dshaft</vt:lpstr>
      <vt:lpstr>E</vt:lpstr>
      <vt:lpstr>Faxialbuckle</vt:lpstr>
      <vt:lpstr>Faxialbuckleiusd</vt:lpstr>
      <vt:lpstr>Faxialhg</vt:lpstr>
      <vt:lpstr>Ftip</vt:lpstr>
      <vt:lpstr>Ftipesb</vt:lpstr>
      <vt:lpstr>Ftipiosd</vt:lpstr>
      <vt:lpstr>Ftipiusd</vt:lpstr>
      <vt:lpstr>Ftipsb</vt:lpstr>
      <vt:lpstr>Iyyesb</vt:lpstr>
      <vt:lpstr>Iyyiosd</vt:lpstr>
      <vt:lpstr>Iyyiusd</vt:lpstr>
      <vt:lpstr>Iyymin</vt:lpstr>
      <vt:lpstr>Iyys</vt:lpstr>
      <vt:lpstr>Kaipiusd</vt:lpstr>
      <vt:lpstr>khg</vt:lpstr>
      <vt:lpstr>khgrd</vt:lpstr>
      <vt:lpstr>khgs</vt:lpstr>
      <vt:lpstr>kl</vt:lpstr>
      <vt:lpstr>ks</vt:lpstr>
      <vt:lpstr>kss</vt:lpstr>
      <vt:lpstr>ktermad</vt:lpstr>
      <vt:lpstr>kterman</vt:lpstr>
      <vt:lpstr>ktermbd</vt:lpstr>
      <vt:lpstr>ktermbn</vt:lpstr>
      <vt:lpstr>Ktiphg</vt:lpstr>
      <vt:lpstr>Ktipiusd</vt:lpstr>
      <vt:lpstr>Ktipsb</vt:lpstr>
      <vt:lpstr>Ktipsbs</vt:lpstr>
      <vt:lpstr>Ls</vt:lpstr>
      <vt:lpstr>Mmax</vt:lpstr>
      <vt:lpstr>rh</vt:lpstr>
      <vt:lpstr>Rhc</vt:lpstr>
      <vt:lpstr>rhmin</vt:lpstr>
      <vt:lpstr>rshaft</vt:lpstr>
      <vt:lpstr>sigdes</vt:lpstr>
      <vt:lpstr>sigyield</vt:lpstr>
      <vt:lpstr>Theta</vt:lpstr>
      <vt:lpstr>wh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2022-04-05T10:16:35Z</dcterms:created>
  <dcterms:modified xsi:type="dcterms:W3CDTF">2023-04-17T00:40:15Z</dcterms:modified>
</cp:coreProperties>
</file>