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ocum/Documents/Mac files/Companies/ASML folder/ASML PMD April 2022/Topic 5 Interfaces/"/>
    </mc:Choice>
  </mc:AlternateContent>
  <xr:revisionPtr revIDLastSave="0" documentId="13_ncr:1_{9DA874B2-A975-0545-87C6-4B71B2633652}" xr6:coauthVersionLast="47" xr6:coauthVersionMax="47" xr10:uidLastSave="{00000000-0000-0000-0000-000000000000}"/>
  <bookViews>
    <workbookView xWindow="860" yWindow="460" windowWidth="23920" windowHeight="18340" tabRatio="500" xr2:uid="{00000000-000D-0000-FFFF-FFFF00000000}"/>
  </bookViews>
  <sheets>
    <sheet name="Sheet1" sheetId="1" r:id="rId1"/>
  </sheets>
  <definedNames>
    <definedName name="d">Sheet1!$C$6</definedName>
    <definedName name="dmax">Sheet1!$C$7</definedName>
    <definedName name="dmin">Sheet1!$C$8</definedName>
    <definedName name="E">Sheet1!$C$20</definedName>
    <definedName name="fldp">Sheet1!$C$21</definedName>
    <definedName name="ie">Sheet1!$C$17</definedName>
    <definedName name="imax">Sheet1!$C$15</definedName>
    <definedName name="imin">Sheet1!$C$16</definedName>
    <definedName name="inom">Sheet1!$C$14</definedName>
    <definedName name="Iyy">Sheet1!$C$31</definedName>
    <definedName name="Iyymax">Sheet1!$C$32</definedName>
    <definedName name="Iyymin">Sheet1!$C$33</definedName>
    <definedName name="L">Sheet1!$C$23</definedName>
    <definedName name="pdft">Sheet1!$C$22</definedName>
    <definedName name="sigy">Sheet1!$C$19</definedName>
    <definedName name="t">Sheet1!$C$25</definedName>
    <definedName name="tm">Sheet1!$C$29</definedName>
    <definedName name="tminustol">Sheet1!$C$27</definedName>
    <definedName name="tp">Sheet1!$C$28</definedName>
    <definedName name="tplustol">Sheet1!$C$26</definedName>
    <definedName name="w">Sheet1!$C$24</definedName>
    <definedName name="ws">Sheet1!$C$10</definedName>
    <definedName name="wsmax">Sheet1!$C$11</definedName>
    <definedName name="wsmin">Sheet1!$C$12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14" i="1"/>
  <c r="C15" i="1"/>
  <c r="C16" i="1"/>
  <c r="C17" i="1"/>
  <c r="C25" i="1"/>
  <c r="C28" i="1" s="1"/>
  <c r="C32" i="1" s="1"/>
  <c r="C31" i="1" l="1"/>
  <c r="D37" i="1" s="1"/>
  <c r="E37" i="1"/>
  <c r="C38" i="1"/>
  <c r="C43" i="1" s="1"/>
  <c r="D38" i="1"/>
  <c r="D43" i="1" s="1"/>
  <c r="B38" i="1"/>
  <c r="B43" i="1" s="1"/>
  <c r="D42" i="1"/>
  <c r="E42" i="1"/>
  <c r="E38" i="1"/>
  <c r="E43" i="1" s="1"/>
  <c r="C29" i="1"/>
  <c r="C33" i="1" s="1"/>
  <c r="B37" i="1" l="1"/>
  <c r="B42" i="1" s="1"/>
  <c r="C37" i="1"/>
  <c r="C42" i="1" s="1"/>
  <c r="D46" i="1"/>
  <c r="D47" i="1" s="1"/>
  <c r="B39" i="1"/>
  <c r="C39" i="1"/>
  <c r="D39" i="1"/>
  <c r="B46" i="1"/>
  <c r="B47" i="1" s="1"/>
  <c r="C46" i="1"/>
  <c r="C47" i="1" s="1"/>
  <c r="E39" i="1"/>
  <c r="E44" i="1" s="1"/>
  <c r="E45" i="1" s="1"/>
  <c r="E46" i="1"/>
  <c r="E47" i="1" s="1"/>
  <c r="E40" i="1"/>
  <c r="E49" i="1" s="1"/>
  <c r="C34" i="1"/>
  <c r="C44" i="1" l="1"/>
  <c r="C45" i="1" s="1"/>
  <c r="C40" i="1"/>
  <c r="C49" i="1" s="1"/>
  <c r="D44" i="1"/>
  <c r="D45" i="1" s="1"/>
  <c r="D40" i="1"/>
  <c r="D49" i="1" s="1"/>
  <c r="B44" i="1"/>
  <c r="B45" i="1" s="1"/>
  <c r="B40" i="1"/>
  <c r="B49" i="1" s="1"/>
</calcChain>
</file>

<file path=xl/sharedStrings.xml><?xml version="1.0" encoding="utf-8"?>
<sst xmlns="http://schemas.openxmlformats.org/spreadsheetml/2006/main" count="78" uniqueCount="67">
  <si>
    <t>Dowel Pin</t>
  </si>
  <si>
    <t>nominal diameter</t>
  </si>
  <si>
    <t>plus tolerance</t>
  </si>
  <si>
    <t>minus tolerance</t>
  </si>
  <si>
    <t>Slot</t>
  </si>
  <si>
    <t>Flexure</t>
  </si>
  <si>
    <t>length (slot length)</t>
  </si>
  <si>
    <t>nominal thickness</t>
  </si>
  <si>
    <t>at  nominal flexure thickness</t>
  </si>
  <si>
    <t>nominal</t>
  </si>
  <si>
    <t>nominal width</t>
  </si>
  <si>
    <t>Pin-slot Interference</t>
  </si>
  <si>
    <t>maxinum</t>
  </si>
  <si>
    <t>minimum</t>
  </si>
  <si>
    <t>max</t>
  </si>
  <si>
    <t>min</t>
  </si>
  <si>
    <t>rms</t>
  </si>
  <si>
    <t>at interferance amount</t>
  </si>
  <si>
    <t>at maximum flexural thickness</t>
  </si>
  <si>
    <t>at minimum flexural thickness</t>
  </si>
  <si>
    <t>pin diameter/flexure thickness</t>
  </si>
  <si>
    <t>flexure length/pin diameter</t>
  </si>
  <si>
    <t>plus thickness</t>
  </si>
  <si>
    <t>minus thickness</t>
  </si>
  <si>
    <t>Modulus</t>
  </si>
  <si>
    <t>E</t>
  </si>
  <si>
    <t>dmin</t>
  </si>
  <si>
    <t>dmax</t>
  </si>
  <si>
    <t>imax</t>
  </si>
  <si>
    <t>inom</t>
  </si>
  <si>
    <t>imin</t>
  </si>
  <si>
    <t>ie</t>
  </si>
  <si>
    <t>L</t>
  </si>
  <si>
    <t>tp</t>
  </si>
  <si>
    <t>tm</t>
  </si>
  <si>
    <t>t</t>
  </si>
  <si>
    <t>width</t>
  </si>
  <si>
    <t>w</t>
  </si>
  <si>
    <t>Moments of inertia of flexure</t>
  </si>
  <si>
    <t>Nominal</t>
  </si>
  <si>
    <t>Minimum</t>
  </si>
  <si>
    <t>Maximum</t>
  </si>
  <si>
    <t>Iyy</t>
  </si>
  <si>
    <t>Iyymax</t>
  </si>
  <si>
    <t>Iyymin</t>
  </si>
  <si>
    <t>Flexure bending moment</t>
  </si>
  <si>
    <t>Flexure bending stress</t>
  </si>
  <si>
    <t>Iyyrms</t>
  </si>
  <si>
    <t>Yield stress</t>
  </si>
  <si>
    <t>sigy</t>
  </si>
  <si>
    <t>SF = sigyield/bending stress</t>
  </si>
  <si>
    <t>d</t>
  </si>
  <si>
    <t>ws</t>
  </si>
  <si>
    <t>wsmax</t>
  </si>
  <si>
    <t>wsmin</t>
  </si>
  <si>
    <t>expected value (rms)</t>
  </si>
  <si>
    <t>fldp</t>
  </si>
  <si>
    <t>pdft</t>
  </si>
  <si>
    <t>tplustol</t>
  </si>
  <si>
    <t>tminustol</t>
  </si>
  <si>
    <t>To design interference fit between dowel pin and slotted flexure blades for elastic averaged alignment</t>
  </si>
  <si>
    <t>Created by Alex Slocum, 2016.02.26</t>
  </si>
  <si>
    <t>System stiffness</t>
  </si>
  <si>
    <t>Interference force to deflect each flexure</t>
  </si>
  <si>
    <t>Normal stiffness of pin between blades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</si>
  <si>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 outputs in </t>
    </r>
    <r>
      <rPr>
        <b/>
        <sz val="12"/>
        <color rgb="FFFF0000"/>
        <rFont val="Calibri"/>
        <family val="2"/>
        <scheme val="minor"/>
      </rPr>
      <t>RED</t>
    </r>
    <r>
      <rPr>
        <sz val="12"/>
        <rFont val="Calibri"/>
        <family val="2"/>
        <scheme val="minor"/>
      </rPr>
      <t>, BE CONSISTENT WITH UNITS (e.g, N, mm)</t>
    </r>
  </si>
  <si>
    <t>lotta_slot_alignment_design.xls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</si>
</sst>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/>
    <xf numFmtId="165" fontId="4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2" fontId="1" fillId="0" borderId="0" xfId="0" applyNumberFormat="1" applyFont="1"/>
    <xf numFmtId="2" fontId="6" fillId="0" borderId="0" xfId="0" applyNumberFormat="1" applyFont="1"/>
    <xf numFmtId="1" fontId="4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83" zoomScaleNormal="83" workbookViewId="0">
      <selection activeCell="H13" sqref="H13"/>
    </sheetView>
  </sheetViews>
  <sheetFormatPr baseColWidth="10" defaultRowHeight="16" x14ac:dyDescent="0.2"/>
  <cols>
    <col min="1" max="1" width="36.1640625" customWidth="1"/>
    <col min="2" max="2" width="10.33203125" customWidth="1"/>
    <col min="5" max="5" width="14.6640625" customWidth="1"/>
  </cols>
  <sheetData>
    <row r="1" spans="1:5" x14ac:dyDescent="0.2">
      <c r="A1" s="18" t="s">
        <v>66</v>
      </c>
      <c r="B1" s="18"/>
      <c r="C1" s="18"/>
      <c r="D1" s="18"/>
      <c r="E1" s="18"/>
    </row>
    <row r="2" spans="1:5" ht="18" customHeight="1" x14ac:dyDescent="0.2">
      <c r="A2" s="16" t="s">
        <v>60</v>
      </c>
      <c r="B2" s="16"/>
      <c r="C2" s="16"/>
      <c r="D2" s="16"/>
      <c r="E2" s="16"/>
    </row>
    <row r="3" spans="1:5" x14ac:dyDescent="0.2">
      <c r="A3" s="17" t="s">
        <v>65</v>
      </c>
      <c r="B3" s="17"/>
      <c r="C3" s="17"/>
      <c r="D3" s="17"/>
      <c r="E3" s="17"/>
    </row>
    <row r="4" spans="1:5" x14ac:dyDescent="0.2">
      <c r="A4" s="17" t="s">
        <v>61</v>
      </c>
      <c r="B4" s="17"/>
      <c r="C4" s="17"/>
      <c r="D4" s="17"/>
      <c r="E4" s="17"/>
    </row>
    <row r="5" spans="1:5" x14ac:dyDescent="0.2">
      <c r="A5" s="5" t="s">
        <v>0</v>
      </c>
    </row>
    <row r="6" spans="1:5" x14ac:dyDescent="0.2">
      <c r="A6" s="1" t="s">
        <v>1</v>
      </c>
      <c r="B6" s="1" t="s">
        <v>51</v>
      </c>
      <c r="C6" s="5">
        <v>3</v>
      </c>
    </row>
    <row r="7" spans="1:5" x14ac:dyDescent="0.2">
      <c r="A7" s="1" t="s">
        <v>2</v>
      </c>
      <c r="B7" s="1" t="s">
        <v>27</v>
      </c>
      <c r="C7" s="5">
        <v>0.01</v>
      </c>
    </row>
    <row r="8" spans="1:5" x14ac:dyDescent="0.2">
      <c r="A8" s="1" t="s">
        <v>3</v>
      </c>
      <c r="B8" s="1" t="s">
        <v>26</v>
      </c>
      <c r="C8" s="5">
        <v>0.01</v>
      </c>
    </row>
    <row r="9" spans="1:5" x14ac:dyDescent="0.2">
      <c r="A9" s="5" t="s">
        <v>4</v>
      </c>
      <c r="C9" s="5"/>
    </row>
    <row r="10" spans="1:5" x14ac:dyDescent="0.2">
      <c r="A10" s="1" t="s">
        <v>10</v>
      </c>
      <c r="B10" s="1" t="s">
        <v>52</v>
      </c>
      <c r="C10" s="5">
        <v>2.98</v>
      </c>
    </row>
    <row r="11" spans="1:5" x14ac:dyDescent="0.2">
      <c r="A11" s="1" t="s">
        <v>2</v>
      </c>
      <c r="B11" s="1" t="s">
        <v>53</v>
      </c>
      <c r="C11" s="5">
        <v>0.01</v>
      </c>
    </row>
    <row r="12" spans="1:5" x14ac:dyDescent="0.2">
      <c r="A12" s="1" t="s">
        <v>3</v>
      </c>
      <c r="B12" s="1" t="s">
        <v>54</v>
      </c>
      <c r="C12" s="5">
        <v>0.01</v>
      </c>
    </row>
    <row r="13" spans="1:5" x14ac:dyDescent="0.2">
      <c r="A13" s="14" t="s">
        <v>11</v>
      </c>
      <c r="B13" s="2"/>
      <c r="C13" s="5"/>
    </row>
    <row r="14" spans="1:5" x14ac:dyDescent="0.2">
      <c r="A14" s="1" t="s">
        <v>9</v>
      </c>
      <c r="B14" s="1" t="s">
        <v>29</v>
      </c>
      <c r="C14" s="8">
        <f>d-ws</f>
        <v>2.0000000000000018E-2</v>
      </c>
    </row>
    <row r="15" spans="1:5" x14ac:dyDescent="0.2">
      <c r="A15" s="1" t="s">
        <v>12</v>
      </c>
      <c r="B15" s="1" t="s">
        <v>28</v>
      </c>
      <c r="C15" s="8">
        <f>(d+dmax)-(ws-wsmin)</f>
        <v>3.9999999999999591E-2</v>
      </c>
    </row>
    <row r="16" spans="1:5" x14ac:dyDescent="0.2">
      <c r="A16" s="1" t="s">
        <v>13</v>
      </c>
      <c r="B16" s="1" t="s">
        <v>30</v>
      </c>
      <c r="C16" s="8">
        <f>(d-dmin)-(ws+wsmax)</f>
        <v>0</v>
      </c>
    </row>
    <row r="17" spans="1:3" x14ac:dyDescent="0.2">
      <c r="A17" s="1" t="s">
        <v>55</v>
      </c>
      <c r="B17" s="1" t="s">
        <v>31</v>
      </c>
      <c r="C17" s="9">
        <f>SQRT((inom^2+imax^2+imin^2)/3)</f>
        <v>2.5819888974715908E-2</v>
      </c>
    </row>
    <row r="18" spans="1:3" x14ac:dyDescent="0.2">
      <c r="A18" s="5" t="s">
        <v>5</v>
      </c>
      <c r="C18" s="5"/>
    </row>
    <row r="19" spans="1:3" x14ac:dyDescent="0.2">
      <c r="A19" s="1" t="s">
        <v>48</v>
      </c>
      <c r="B19" s="1" t="s">
        <v>49</v>
      </c>
      <c r="C19" s="5">
        <v>250</v>
      </c>
    </row>
    <row r="20" spans="1:3" x14ac:dyDescent="0.2">
      <c r="A20" s="1" t="s">
        <v>24</v>
      </c>
      <c r="B20" s="1" t="s">
        <v>25</v>
      </c>
      <c r="C20" s="5">
        <v>69000</v>
      </c>
    </row>
    <row r="21" spans="1:3" x14ac:dyDescent="0.2">
      <c r="A21" s="1" t="s">
        <v>21</v>
      </c>
      <c r="B21" s="1" t="s">
        <v>56</v>
      </c>
      <c r="C21" s="5">
        <v>5</v>
      </c>
    </row>
    <row r="22" spans="1:3" x14ac:dyDescent="0.2">
      <c r="A22" s="1" t="s">
        <v>20</v>
      </c>
      <c r="B22" s="1" t="s">
        <v>57</v>
      </c>
      <c r="C22" s="5">
        <v>3</v>
      </c>
    </row>
    <row r="23" spans="1:3" x14ac:dyDescent="0.2">
      <c r="A23" s="1" t="s">
        <v>6</v>
      </c>
      <c r="B23" s="1" t="s">
        <v>32</v>
      </c>
      <c r="C23" s="10">
        <f>fldp*d</f>
        <v>15</v>
      </c>
    </row>
    <row r="24" spans="1:3" x14ac:dyDescent="0.2">
      <c r="A24" s="1" t="s">
        <v>36</v>
      </c>
      <c r="B24" s="1" t="s">
        <v>37</v>
      </c>
      <c r="C24" s="12">
        <v>6</v>
      </c>
    </row>
    <row r="25" spans="1:3" x14ac:dyDescent="0.2">
      <c r="A25" s="1" t="s">
        <v>7</v>
      </c>
      <c r="B25" s="1" t="s">
        <v>35</v>
      </c>
      <c r="C25" s="11">
        <f>C6/C22</f>
        <v>1</v>
      </c>
    </row>
    <row r="26" spans="1:3" x14ac:dyDescent="0.2">
      <c r="A26" s="1" t="s">
        <v>2</v>
      </c>
      <c r="B26" s="1" t="s">
        <v>58</v>
      </c>
      <c r="C26" s="5">
        <v>0.05</v>
      </c>
    </row>
    <row r="27" spans="1:3" x14ac:dyDescent="0.2">
      <c r="A27" s="1" t="s">
        <v>3</v>
      </c>
      <c r="B27" s="1" t="s">
        <v>59</v>
      </c>
      <c r="C27" s="5">
        <v>0.05</v>
      </c>
    </row>
    <row r="28" spans="1:3" x14ac:dyDescent="0.2">
      <c r="A28" s="1" t="s">
        <v>22</v>
      </c>
      <c r="B28" s="1" t="s">
        <v>33</v>
      </c>
      <c r="C28" s="10">
        <f>tplustol+t</f>
        <v>1.05</v>
      </c>
    </row>
    <row r="29" spans="1:3" x14ac:dyDescent="0.2">
      <c r="A29" s="1" t="s">
        <v>23</v>
      </c>
      <c r="B29" s="1" t="s">
        <v>34</v>
      </c>
      <c r="C29" s="10">
        <f>t-tminustol</f>
        <v>0.95</v>
      </c>
    </row>
    <row r="30" spans="1:3" x14ac:dyDescent="0.2">
      <c r="A30" s="1" t="s">
        <v>38</v>
      </c>
      <c r="B30" s="1"/>
      <c r="C30" s="10"/>
    </row>
    <row r="31" spans="1:3" x14ac:dyDescent="0.2">
      <c r="A31" s="1" t="s">
        <v>39</v>
      </c>
      <c r="B31" s="1" t="s">
        <v>42</v>
      </c>
      <c r="C31" s="10">
        <f>w*t^3/12</f>
        <v>0.5</v>
      </c>
    </row>
    <row r="32" spans="1:3" x14ac:dyDescent="0.2">
      <c r="A32" s="1" t="s">
        <v>41</v>
      </c>
      <c r="B32" s="1" t="s">
        <v>43</v>
      </c>
      <c r="C32" s="10">
        <f>w*tp^3/12</f>
        <v>0.57881250000000006</v>
      </c>
    </row>
    <row r="33" spans="1:6" x14ac:dyDescent="0.2">
      <c r="A33" s="1" t="s">
        <v>40</v>
      </c>
      <c r="B33" s="1" t="s">
        <v>44</v>
      </c>
      <c r="C33" s="10">
        <f>w*tm^3/12</f>
        <v>0.42868749999999994</v>
      </c>
    </row>
    <row r="34" spans="1:6" x14ac:dyDescent="0.2">
      <c r="A34" s="1" t="s">
        <v>16</v>
      </c>
      <c r="B34" s="1" t="s">
        <v>47</v>
      </c>
      <c r="C34" s="10">
        <f>SQRT((Iyy^2+Iyymax^2+Iyymin^2)/3)</f>
        <v>0.5062268538947402</v>
      </c>
    </row>
    <row r="35" spans="1:6" x14ac:dyDescent="0.2">
      <c r="A35" s="1"/>
      <c r="B35" s="15" t="s">
        <v>17</v>
      </c>
      <c r="C35" s="15"/>
      <c r="D35" s="15"/>
      <c r="E35" s="15"/>
      <c r="F35" s="3"/>
    </row>
    <row r="36" spans="1:6" x14ac:dyDescent="0.2">
      <c r="A36" s="14" t="s">
        <v>63</v>
      </c>
      <c r="B36" s="7" t="s">
        <v>9</v>
      </c>
      <c r="C36" s="7" t="s">
        <v>14</v>
      </c>
      <c r="D36" s="7" t="s">
        <v>15</v>
      </c>
      <c r="E36" s="7" t="s">
        <v>16</v>
      </c>
    </row>
    <row r="37" spans="1:6" x14ac:dyDescent="0.2">
      <c r="A37" s="1" t="s">
        <v>8</v>
      </c>
      <c r="B37" s="4">
        <f>(inom/2)*192*E*Iyy/L^3</f>
        <v>19.626666666666683</v>
      </c>
      <c r="C37" s="4">
        <f>(imax/2)*192*E*Iyy/L^3</f>
        <v>39.25333333333294</v>
      </c>
      <c r="D37" s="4">
        <f>(imin/2)*192*E*Iyy/L^3</f>
        <v>0</v>
      </c>
      <c r="E37" s="4">
        <f>(ie/2)*192*E*Iyy/L^3</f>
        <v>25.337917713854544</v>
      </c>
    </row>
    <row r="38" spans="1:6" x14ac:dyDescent="0.2">
      <c r="A38" s="1" t="s">
        <v>18</v>
      </c>
      <c r="B38" s="4">
        <f>(inom/2)*192*E*Iyymax/L^3</f>
        <v>22.720320000000022</v>
      </c>
      <c r="C38" s="4">
        <f>(imax/2)*192*E*Iyymax/L^3</f>
        <v>45.440639999999547</v>
      </c>
      <c r="D38" s="4">
        <f>(imin/2)*192*E*Iyymax/L^3</f>
        <v>0</v>
      </c>
      <c r="E38" s="4">
        <f>(ie/2)*192*E*Iyymax/L^3</f>
        <v>29.331806993500869</v>
      </c>
    </row>
    <row r="39" spans="1:6" x14ac:dyDescent="0.2">
      <c r="A39" s="1" t="s">
        <v>19</v>
      </c>
      <c r="B39" s="4">
        <f>(inom/2)*192*E*Iyymin/L^3</f>
        <v>16.827413333333347</v>
      </c>
      <c r="C39" s="4">
        <f>(imax/2)*192*E*Iyymin/L^3</f>
        <v>33.654826666666324</v>
      </c>
      <c r="D39" s="4">
        <f>(imin/2)*192*E*Iyymin/L^3</f>
        <v>0</v>
      </c>
      <c r="E39" s="4">
        <f>(ie/2)*192*E*Iyymin/L^3</f>
        <v>21.724097199916038</v>
      </c>
    </row>
    <row r="40" spans="1:6" x14ac:dyDescent="0.2">
      <c r="A40" s="1" t="s">
        <v>16</v>
      </c>
      <c r="B40" s="4">
        <f>SQRT((B37^2+B38^2+B39^2)/3)</f>
        <v>19.871091438214886</v>
      </c>
      <c r="C40" s="4">
        <f t="shared" ref="C40:E40" si="0">SQRT((C37^2+C38^2+C39^2)/3)</f>
        <v>39.742182876429339</v>
      </c>
      <c r="D40" s="4">
        <f t="shared" si="0"/>
        <v>0</v>
      </c>
      <c r="E40" s="4">
        <f t="shared" si="0"/>
        <v>25.653468737056791</v>
      </c>
    </row>
    <row r="41" spans="1:6" x14ac:dyDescent="0.2">
      <c r="A41" s="14" t="s">
        <v>45</v>
      </c>
      <c r="B41" s="5"/>
      <c r="C41" s="5"/>
      <c r="D41" s="5"/>
      <c r="E41" s="5"/>
    </row>
    <row r="42" spans="1:6" x14ac:dyDescent="0.2">
      <c r="A42" s="1" t="s">
        <v>8</v>
      </c>
      <c r="B42" s="4">
        <f t="shared" ref="B42:E44" si="1">B37*L/8</f>
        <v>36.800000000000033</v>
      </c>
      <c r="C42" s="4">
        <f t="shared" si="1"/>
        <v>73.599999999999255</v>
      </c>
      <c r="D42" s="4">
        <f t="shared" si="1"/>
        <v>0</v>
      </c>
      <c r="E42" s="4">
        <f t="shared" si="1"/>
        <v>47.50859571347727</v>
      </c>
    </row>
    <row r="43" spans="1:6" x14ac:dyDescent="0.2">
      <c r="A43" s="1" t="s">
        <v>18</v>
      </c>
      <c r="B43" s="4">
        <f t="shared" si="1"/>
        <v>42.600600000000043</v>
      </c>
      <c r="C43" s="4">
        <f t="shared" si="1"/>
        <v>85.201199999999147</v>
      </c>
      <c r="D43" s="4">
        <f t="shared" si="1"/>
        <v>0</v>
      </c>
      <c r="E43" s="4">
        <f t="shared" si="1"/>
        <v>54.997138112814127</v>
      </c>
    </row>
    <row r="44" spans="1:6" x14ac:dyDescent="0.2">
      <c r="A44" s="1" t="s">
        <v>19</v>
      </c>
      <c r="B44" s="4">
        <f t="shared" si="1"/>
        <v>31.551400000000026</v>
      </c>
      <c r="C44" s="4">
        <f t="shared" si="1"/>
        <v>63.102799999999355</v>
      </c>
      <c r="D44" s="4">
        <f t="shared" si="1"/>
        <v>0</v>
      </c>
      <c r="E44" s="4">
        <f t="shared" si="1"/>
        <v>40.732682249842568</v>
      </c>
    </row>
    <row r="45" spans="1:6" x14ac:dyDescent="0.2">
      <c r="A45" s="1" t="s">
        <v>16</v>
      </c>
      <c r="B45" s="4">
        <f>SQRT((B42^2+B43^2+B44^2)/3)</f>
        <v>37.258296446652913</v>
      </c>
      <c r="C45" s="4">
        <f t="shared" ref="C45" si="2">SQRT((C42^2+C43^2+C44^2)/3)</f>
        <v>74.516592893305017</v>
      </c>
      <c r="D45" s="4">
        <f t="shared" ref="D45" si="3">SQRT((D42^2+D43^2+D44^2)/3)</f>
        <v>0</v>
      </c>
      <c r="E45" s="4">
        <f t="shared" ref="E45" si="4">SQRT((E42^2+E43^2+E44^2)/3)</f>
        <v>48.10025388198148</v>
      </c>
    </row>
    <row r="46" spans="1:6" x14ac:dyDescent="0.2">
      <c r="A46" s="14" t="s">
        <v>46</v>
      </c>
      <c r="B46" s="6">
        <f>B42*(t/2)/Iyy</f>
        <v>36.800000000000033</v>
      </c>
      <c r="C46" s="6">
        <f>C42*(t/2)/Iyy</f>
        <v>73.599999999999255</v>
      </c>
      <c r="D46" s="6">
        <f>D42*(t/2)/Iyy</f>
        <v>0</v>
      </c>
      <c r="E46" s="4">
        <f>E42*(t/2)/Iyy</f>
        <v>47.50859571347727</v>
      </c>
    </row>
    <row r="47" spans="1:6" x14ac:dyDescent="0.2">
      <c r="A47" s="1" t="s">
        <v>50</v>
      </c>
      <c r="B47" s="4">
        <f>sigy/B46</f>
        <v>6.7934782608695592</v>
      </c>
      <c r="C47" s="4">
        <f>sigy/C46</f>
        <v>3.3967391304348169</v>
      </c>
      <c r="D47" s="4" t="e">
        <f>sigy/D46</f>
        <v>#DIV/0!</v>
      </c>
      <c r="E47" s="4">
        <f>sigy/E46</f>
        <v>5.2622056334340321</v>
      </c>
    </row>
    <row r="48" spans="1:6" x14ac:dyDescent="0.2">
      <c r="A48" s="14" t="s">
        <v>62</v>
      </c>
    </row>
    <row r="49" spans="1:5" x14ac:dyDescent="0.2">
      <c r="A49" s="1" t="s">
        <v>64</v>
      </c>
      <c r="B49" s="13">
        <f>2*B40/(ie/2)</f>
        <v>3078.4162484468661</v>
      </c>
      <c r="C49" s="13">
        <f>2*C40/(ie/2)</f>
        <v>6156.8324968936649</v>
      </c>
      <c r="D49" s="13">
        <f>2*D40/(ie/2)</f>
        <v>0</v>
      </c>
      <c r="E49" s="13">
        <f>2*E40/(ie/2)</f>
        <v>3974.2182876429742</v>
      </c>
    </row>
  </sheetData>
  <mergeCells count="5">
    <mergeCell ref="B35:E35"/>
    <mergeCell ref="A1:E1"/>
    <mergeCell ref="A2:E2"/>
    <mergeCell ref="A3:E3"/>
    <mergeCell ref="A4:E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Sheet1</vt:lpstr>
      <vt:lpstr>d</vt:lpstr>
      <vt:lpstr>dmax</vt:lpstr>
      <vt:lpstr>dmin</vt:lpstr>
      <vt:lpstr>E</vt:lpstr>
      <vt:lpstr>fldp</vt:lpstr>
      <vt:lpstr>ie</vt:lpstr>
      <vt:lpstr>imax</vt:lpstr>
      <vt:lpstr>imin</vt:lpstr>
      <vt:lpstr>inom</vt:lpstr>
      <vt:lpstr>Iyy</vt:lpstr>
      <vt:lpstr>Iyymax</vt:lpstr>
      <vt:lpstr>Iyymin</vt:lpstr>
      <vt:lpstr>L</vt:lpstr>
      <vt:lpstr>pdft</vt:lpstr>
      <vt:lpstr>sigy</vt:lpstr>
      <vt:lpstr>t</vt:lpstr>
      <vt:lpstr>tm</vt:lpstr>
      <vt:lpstr>tminustol</vt:lpstr>
      <vt:lpstr>tp</vt:lpstr>
      <vt:lpstr>tplustol</vt:lpstr>
      <vt:lpstr>w</vt:lpstr>
      <vt:lpstr>ws</vt:lpstr>
      <vt:lpstr>wsmax</vt:lpstr>
      <vt:lpstr>wsmin</vt:lpstr>
    </vt:vector>
  </TitlesOfParts>
  <Company>Mechanical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Microsoft Office User</cp:lastModifiedBy>
  <dcterms:created xsi:type="dcterms:W3CDTF">2016-02-26T12:27:36Z</dcterms:created>
  <dcterms:modified xsi:type="dcterms:W3CDTF">2022-04-22T16:35:26Z</dcterms:modified>
</cp:coreProperties>
</file>