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ASML/ASML Precision Machine Design Short Course May 2023/Precision Machine Design Short Course Spreadsheets 2022.04.22/"/>
    </mc:Choice>
  </mc:AlternateContent>
  <xr:revisionPtr revIDLastSave="0" documentId="13_ncr:40009_{AD8A884C-80BA-4343-B849-6075480E3EC7}" xr6:coauthVersionLast="47" xr6:coauthVersionMax="47" xr10:uidLastSave="{00000000-0000-0000-0000-000000000000}"/>
  <bookViews>
    <workbookView xWindow="2460" yWindow="500" windowWidth="28260" windowHeight="18740"/>
  </bookViews>
  <sheets>
    <sheet name="Sheet1" sheetId="1" r:id="rId1"/>
    <sheet name="motor element size ratios" sheetId="2" r:id="rId2"/>
    <sheet name="Sheet3" sheetId="3" r:id="rId3"/>
  </sheets>
  <definedNames>
    <definedName name="accel">Sheet1!$B$14</definedName>
    <definedName name="ascrew">Sheet1!$B$49</definedName>
    <definedName name="dcl">Sheet1!$B$23</definedName>
    <definedName name="delscrew">Sheet1!$B$52</definedName>
    <definedName name="dhousing">Sheet1!#REF!</definedName>
    <definedName name="dscrews">Sheet1!$B$48</definedName>
    <definedName name="escrew">Sheet1!$B$45</definedName>
    <definedName name="etascrew">Sheet1!$B$36</definedName>
    <definedName name="Fscrew">Sheet1!$B$39</definedName>
    <definedName name="gam">Sheet1!$B$6</definedName>
    <definedName name="gammin">Sheet1!$B$41</definedName>
    <definedName name="gdmd">Sheet1!#REF!</definedName>
    <definedName name="glml">Sheet1!#REF!</definedName>
    <definedName name="hdrd">Sheet1!$B$20</definedName>
    <definedName name="hlhd">Sheet1!$B$18</definedName>
    <definedName name="hlrl">Sheet1!$B$19</definedName>
    <definedName name="imr">Sheet1!#REF!</definedName>
    <definedName name="IPscrew">Sheet1!$B$50</definedName>
    <definedName name="Jtotal">Sheet1!$B$32</definedName>
    <definedName name="kaxial">Sheet1!$B$53</definedName>
    <definedName name="Kaxialtors">Sheet1!$B$58</definedName>
    <definedName name="keff">Sheet1!$B$59</definedName>
    <definedName name="lcl">Sheet1!$B$24</definedName>
    <definedName name="lead">Sheet1!$B$34</definedName>
    <definedName name="lhousing">Sheet1!#REF!</definedName>
    <definedName name="meff">Sheet1!$B$38</definedName>
    <definedName name="mload">Sheet1!$B$9</definedName>
    <definedName name="mrotrefl">Sheet1!$B$37</definedName>
    <definedName name="taccel">Sheet1!$B$13</definedName>
    <definedName name="tau">Sheet1!$C$17</definedName>
    <definedName name="thetator">Sheet1!$B$55</definedName>
    <definedName name="vmax">Sheet1!$B$11</definedName>
    <definedName name="vscrew">Sheet1!$B$46</definedName>
    <definedName name="wmotor">Sheet1!$B$42</definedName>
    <definedName name="x">Sheet1!$B$12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B59" i="1"/>
  <c r="C59" i="1"/>
  <c r="C58" i="1"/>
  <c r="C57" i="1"/>
  <c r="B57" i="1"/>
  <c r="C17" i="1"/>
  <c r="B27" i="1"/>
  <c r="B28" i="1"/>
  <c r="B30" i="1"/>
  <c r="B31" i="1"/>
  <c r="D27" i="1"/>
  <c r="D28" i="1"/>
  <c r="D29" i="1"/>
  <c r="D30" i="1"/>
  <c r="D31" i="1"/>
  <c r="C30" i="1"/>
  <c r="C31" i="1"/>
  <c r="B32" i="1"/>
  <c r="C37" i="1"/>
  <c r="C38" i="1"/>
  <c r="B13" i="1"/>
  <c r="B14" i="1"/>
  <c r="C39" i="1"/>
  <c r="C41" i="1"/>
  <c r="B48" i="1"/>
  <c r="B50" i="1"/>
  <c r="C55" i="1"/>
  <c r="C56" i="1"/>
  <c r="B34" i="1"/>
  <c r="B37" i="1"/>
  <c r="B38" i="1"/>
  <c r="B39" i="1"/>
  <c r="B41" i="1"/>
  <c r="B55" i="1"/>
  <c r="B56" i="1"/>
  <c r="B49" i="1"/>
  <c r="B52" i="1"/>
  <c r="B53" i="1"/>
  <c r="B58" i="1"/>
  <c r="B60" i="1"/>
  <c r="B42" i="1"/>
  <c r="B43" i="1"/>
  <c r="C42" i="1"/>
  <c r="C43" i="1"/>
  <c r="B54" i="1"/>
  <c r="B51" i="1"/>
  <c r="C35" i="1"/>
  <c r="B35" i="1"/>
  <c r="B7" i="1"/>
  <c r="A79" i="1"/>
</calcChain>
</file>

<file path=xl/sharedStrings.xml><?xml version="1.0" encoding="utf-8"?>
<sst xmlns="http://schemas.openxmlformats.org/spreadsheetml/2006/main" count="77" uniqueCount="69">
  <si>
    <t>Desired torque, gam (N-mm)</t>
  </si>
  <si>
    <t>Size proportions</t>
  </si>
  <si>
    <t>Motor housing diameter/rotor diameter, hdrd</t>
  </si>
  <si>
    <t>Motor housing length/rotor length, hlrl</t>
  </si>
  <si>
    <t>Motor housing length/housing diameter, hlhd</t>
  </si>
  <si>
    <t>Length (mm)</t>
  </si>
  <si>
    <r>
      <t xml:space="preserve">Enters numbers in </t>
    </r>
    <r>
      <rPr>
        <b/>
        <sz val="10"/>
        <rFont val="Times New Roman"/>
        <family val="1"/>
      </rPr>
      <t>BOLD,</t>
    </r>
    <r>
      <rPr>
        <sz val="10"/>
        <rFont val="Times New Roman"/>
        <family val="1"/>
      </rPr>
      <t xml:space="preserve"> Results in </t>
    </r>
    <r>
      <rPr>
        <b/>
        <sz val="10"/>
        <color indexed="10"/>
        <rFont val="Times New Roman"/>
        <family val="1"/>
      </rPr>
      <t>RED</t>
    </r>
  </si>
  <si>
    <t>Length</t>
  </si>
  <si>
    <t>motor_size_estimator.xls</t>
  </si>
  <si>
    <t>Relative Length</t>
  </si>
  <si>
    <t>Ratio</t>
  </si>
  <si>
    <t>Housing</t>
  </si>
  <si>
    <t>Rotor</t>
  </si>
  <si>
    <t>Diameter</t>
  </si>
  <si>
    <t>Rotor length/rotor diameter</t>
  </si>
  <si>
    <t>Interia (kg-m^2)</t>
  </si>
  <si>
    <t>Mass rotor (kg)</t>
  </si>
  <si>
    <t>Motor Rotor</t>
  </si>
  <si>
    <t>Leadscrew</t>
  </si>
  <si>
    <t>Density (kg/m^3)</t>
  </si>
  <si>
    <t>Mass being driven</t>
  </si>
  <si>
    <t>coupling</t>
  </si>
  <si>
    <t>Coupling</t>
  </si>
  <si>
    <t>Diameter coupling/leadscrew, dcl</t>
  </si>
  <si>
    <t>Length coupling/diameter, lcl</t>
  </si>
  <si>
    <t>Table mass, mload (kg)</t>
  </si>
  <si>
    <t>Total, Jtotal</t>
  </si>
  <si>
    <t>Distance to accelerate, x (mm)</t>
  </si>
  <si>
    <t>Velocity, vmax (mm/s)</t>
  </si>
  <si>
    <t>Time to accelerate, taccel (seconds)</t>
  </si>
  <si>
    <t>acceleration, accel (m/s)</t>
  </si>
  <si>
    <t>Reflected linear inertia of rotary elements, mrotrefl (kg)</t>
  </si>
  <si>
    <t>To estimate size of a motor driving an optimal lead screw actuated table</t>
  </si>
  <si>
    <t>By Alex Slocum, 2023.06.03 by Alex Slocum</t>
  </si>
  <si>
    <t>Screw efficiency, etascrew</t>
  </si>
  <si>
    <t>Total net effective mass being accelerated, meff (kg)</t>
  </si>
  <si>
    <t>Motion profile</t>
  </si>
  <si>
    <t>Motor</t>
  </si>
  <si>
    <t>Force required from screw, Fscrew (N)</t>
  </si>
  <si>
    <t>Minimum motor torque required,Gammin (N-mm)</t>
  </si>
  <si>
    <t>Calculated minimum torque to accelerate load</t>
  </si>
  <si>
    <t>System analysis</t>
  </si>
  <si>
    <t>Motor electromagnetic shear stress, tau (atm, N/mm^2)</t>
  </si>
  <si>
    <t>System based on matched inertia doctrine for optimal transmission ratio</t>
  </si>
  <si>
    <t>Lead/diameter</t>
  </si>
  <si>
    <t>Optimal</t>
  </si>
  <si>
    <t>Required motor speed, wmotor (rpm)</t>
  </si>
  <si>
    <t>Obtainable</t>
  </si>
  <si>
    <t>Assumed root diameter/shaft diameter</t>
  </si>
  <si>
    <t>Outer Diameter (mm)</t>
  </si>
  <si>
    <t>Cross sectional area, Ascrew (mm^2)</t>
  </si>
  <si>
    <t>Polar moment of inertia, Ipscrew (mm^4)</t>
  </si>
  <si>
    <t>Screw diameter for stiffness and stress estimates, dscrews (mm)</t>
  </si>
  <si>
    <t>axial stress, sigscrew (MPa)</t>
  </si>
  <si>
    <t>Torsional stress, tauscrew (MPa)</t>
  </si>
  <si>
    <t>Maximum axial displacement, delscrew (mm)</t>
  </si>
  <si>
    <t>Screw</t>
  </si>
  <si>
    <t>Modulus of elasticity, Escrew</t>
  </si>
  <si>
    <t>Poisoon ratio, vscrew</t>
  </si>
  <si>
    <t>Motor power, Pmot (Watts)</t>
  </si>
  <si>
    <t>Axial stiffness, Kaxial (N/mm)</t>
  </si>
  <si>
    <t>Optimal lead of screw, lead (mm/rev)</t>
  </si>
  <si>
    <t>Torsional stiffness (N-mm/rad)</t>
  </si>
  <si>
    <t>Equivelant axial displacement due to torsional displacement</t>
  </si>
  <si>
    <t>https://socratic.org/questions/frequency-of-vibration-of-two-masses-connected-by-a-spring</t>
  </si>
  <si>
    <t>Equivelant axial stiffness, Kaxialtors</t>
  </si>
  <si>
    <t>Natural frequency (Hz)</t>
  </si>
  <si>
    <t>Effective axial stiffness of screw shaft compressing and twisting, Keff (N/mm)</t>
  </si>
  <si>
    <t>Maximum torsional displacement, thetator (radians)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</si>
</sst>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0.0"/>
    <numFmt numFmtId="166" formatCode="0.0000"/>
    <numFmt numFmtId="178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2"/>
      <color rgb="FF000000"/>
      <name val="Calibri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5" fillId="0" borderId="2" xfId="0" applyFont="1" applyBorder="1"/>
    <xf numFmtId="0" fontId="4" fillId="0" borderId="2" xfId="0" applyFont="1" applyBorder="1" applyAlignment="1">
      <alignment horizontal="left" indent="1"/>
    </xf>
    <xf numFmtId="1" fontId="5" fillId="0" borderId="3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164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164" fontId="6" fillId="0" borderId="6" xfId="0" applyNumberFormat="1" applyFont="1" applyBorder="1"/>
    <xf numFmtId="2" fontId="6" fillId="0" borderId="6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8" xfId="0" applyFont="1" applyBorder="1" applyAlignment="1"/>
    <xf numFmtId="0" fontId="3" fillId="0" borderId="6" xfId="0" applyFont="1" applyBorder="1" applyAlignment="1"/>
    <xf numFmtId="0" fontId="7" fillId="0" borderId="2" xfId="0" applyFont="1" applyBorder="1" applyAlignment="1"/>
    <xf numFmtId="0" fontId="7" fillId="0" borderId="0" xfId="0" applyFont="1" applyBorder="1" applyAlignment="1"/>
    <xf numFmtId="0" fontId="4" fillId="0" borderId="2" xfId="0" applyFont="1" applyBorder="1" applyAlignment="1">
      <alignment horizontal="left" indent="2"/>
    </xf>
    <xf numFmtId="0" fontId="3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" fontId="6" fillId="0" borderId="7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" fontId="8" fillId="0" borderId="8" xfId="0" applyNumberFormat="1" applyFont="1" applyBorder="1" applyAlignment="1"/>
    <xf numFmtId="165" fontId="8" fillId="0" borderId="3" xfId="0" applyNumberFormat="1" applyFont="1" applyBorder="1" applyAlignment="1"/>
    <xf numFmtId="0" fontId="8" fillId="0" borderId="2" xfId="0" applyFont="1" applyBorder="1"/>
    <xf numFmtId="0" fontId="8" fillId="0" borderId="3" xfId="0" applyFont="1" applyBorder="1" applyAlignment="1"/>
    <xf numFmtId="164" fontId="8" fillId="0" borderId="2" xfId="0" applyNumberFormat="1" applyFont="1" applyBorder="1" applyAlignment="1"/>
    <xf numFmtId="11" fontId="8" fillId="0" borderId="3" xfId="0" applyNumberFormat="1" applyFont="1" applyBorder="1" applyAlignment="1"/>
    <xf numFmtId="11" fontId="8" fillId="0" borderId="2" xfId="0" applyNumberFormat="1" applyFont="1" applyBorder="1" applyAlignment="1"/>
    <xf numFmtId="11" fontId="8" fillId="0" borderId="0" xfId="0" applyNumberFormat="1" applyFont="1" applyBorder="1" applyAlignment="1"/>
    <xf numFmtId="11" fontId="3" fillId="0" borderId="0" xfId="0" applyNumberFormat="1" applyFont="1"/>
    <xf numFmtId="0" fontId="8" fillId="0" borderId="2" xfId="0" applyFont="1" applyBorder="1" applyAlignment="1"/>
    <xf numFmtId="0" fontId="8" fillId="0" borderId="0" xfId="0" applyFont="1" applyBorder="1" applyAlignment="1"/>
    <xf numFmtId="0" fontId="3" fillId="0" borderId="0" xfId="0" applyFont="1"/>
    <xf numFmtId="0" fontId="9" fillId="0" borderId="2" xfId="0" applyFont="1" applyBorder="1" applyAlignment="1"/>
    <xf numFmtId="165" fontId="8" fillId="0" borderId="2" xfId="0" applyNumberFormat="1" applyFont="1" applyBorder="1" applyAlignment="1"/>
    <xf numFmtId="0" fontId="3" fillId="0" borderId="0" xfId="0" applyFont="1" applyBorder="1" applyAlignment="1"/>
    <xf numFmtId="1" fontId="8" fillId="0" borderId="2" xfId="0" applyNumberFormat="1" applyFont="1" applyBorder="1"/>
    <xf numFmtId="0" fontId="4" fillId="0" borderId="3" xfId="0" applyFont="1" applyBorder="1" applyAlignment="1">
      <alignment horizontal="left" indent="1"/>
    </xf>
    <xf numFmtId="0" fontId="0" fillId="0" borderId="0" xfId="0" applyBorder="1" applyAlignment="1"/>
    <xf numFmtId="0" fontId="3" fillId="0" borderId="2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left" indent="1"/>
    </xf>
    <xf numFmtId="0" fontId="4" fillId="0" borderId="12" xfId="0" applyFont="1" applyBorder="1" applyAlignment="1">
      <alignment horizontal="left" indent="1"/>
    </xf>
    <xf numFmtId="0" fontId="3" fillId="0" borderId="7" xfId="0" applyFont="1" applyBorder="1" applyAlignment="1"/>
    <xf numFmtId="0" fontId="10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5" fontId="9" fillId="0" borderId="3" xfId="0" applyNumberFormat="1" applyFont="1" applyBorder="1" applyAlignment="1"/>
    <xf numFmtId="165" fontId="8" fillId="0" borderId="3" xfId="0" applyNumberFormat="1" applyFont="1" applyBorder="1"/>
    <xf numFmtId="0" fontId="3" fillId="0" borderId="3" xfId="0" applyFont="1" applyBorder="1"/>
    <xf numFmtId="1" fontId="8" fillId="0" borderId="3" xfId="0" applyNumberFormat="1" applyFont="1" applyBorder="1"/>
    <xf numFmtId="1" fontId="8" fillId="0" borderId="2" xfId="0" applyNumberFormat="1" applyFont="1" applyBorder="1" applyAlignment="1"/>
    <xf numFmtId="11" fontId="9" fillId="0" borderId="3" xfId="0" applyNumberFormat="1" applyFont="1" applyBorder="1" applyAlignment="1">
      <alignment horizontal="center"/>
    </xf>
    <xf numFmtId="11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/>
    <xf numFmtId="2" fontId="8" fillId="0" borderId="2" xfId="0" applyNumberFormat="1" applyFont="1" applyBorder="1"/>
    <xf numFmtId="2" fontId="9" fillId="0" borderId="2" xfId="0" applyNumberFormat="1" applyFont="1" applyBorder="1"/>
    <xf numFmtId="166" fontId="8" fillId="0" borderId="2" xfId="0" applyNumberFormat="1" applyFont="1" applyBorder="1" applyAlignment="1"/>
    <xf numFmtId="178" fontId="8" fillId="0" borderId="2" xfId="1" applyNumberFormat="1" applyFont="1" applyBorder="1"/>
    <xf numFmtId="178" fontId="8" fillId="0" borderId="2" xfId="0" applyNumberFormat="1" applyFont="1" applyBorder="1"/>
    <xf numFmtId="178" fontId="8" fillId="0" borderId="2" xfId="1" applyNumberFormat="1" applyFont="1" applyBorder="1" applyAlignment="1"/>
    <xf numFmtId="166" fontId="8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205947</xdr:colOff>
      <xdr:row>17</xdr:row>
      <xdr:rowOff>128717</xdr:rowOff>
    </xdr:from>
    <xdr:to>
      <xdr:col>9</xdr:col>
      <xdr:colOff>146481</xdr:colOff>
      <xdr:row>23</xdr:row>
      <xdr:rowOff>102435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49844E2-727D-7F80-6891-0779AF509B2C}"/>
                </a:ext>
              </a:extLst>
            </xdr:cNvPr>
            <xdr:cNvSpPr txBox="1"/>
          </xdr:nvSpPr>
          <xdr:spPr>
            <a:xfrm>
              <a:off x="6298515" y="2917568"/>
              <a:ext cx="3544588" cy="95196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ℓ</m:t>
                    </m:r>
                    <m:r>
                      <a:rPr lang="en-US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b="0" i="0">
                        <a:latin typeface="Cambria Math" panose="02040503050406030204" pitchFamily="18" charset="0"/>
                      </a:rPr>
                      <m:t>2</m:t>
                    </m:r>
                    <m:r>
                      <m:rPr>
                        <m:sty m:val="p"/>
                      </m:rPr>
                      <a:rPr lang="el-GR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π</m:t>
                    </m:r>
                    <m:r>
                      <a:rPr lang="el-GR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1000</m:t>
                    </m:r>
                    <m:rad>
                      <m:radPr>
                        <m:degHide m:val="on"/>
                        <m:ctrlP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𝐽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𝑚𝑜𝑡𝑜𝑟</m:t>
                                </m:r>
                              </m:sub>
                            </m:sSub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𝐽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𝑐𝑜𝑢𝑝𝑙𝑖𝑛𝑔</m:t>
                                </m:r>
                              </m:sub>
                            </m:sSub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𝐽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𝑠𝑐𝑟𝑒𝑤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𝑙𝑜𝑎𝑑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en-US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49844E2-727D-7F80-6891-0779AF509B2C}"/>
                </a:ext>
              </a:extLst>
            </xdr:cNvPr>
            <xdr:cNvSpPr txBox="1"/>
          </xdr:nvSpPr>
          <xdr:spPr>
            <a:xfrm>
              <a:off x="6298515" y="2917568"/>
              <a:ext cx="3544588" cy="95196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ℓ</a:t>
              </a:r>
              <a:r>
                <a:rPr lang="en-US" i="0">
                  <a:latin typeface="Cambria Math" panose="02040503050406030204" pitchFamily="18" charset="0"/>
                </a:rPr>
                <a:t>=</a:t>
              </a:r>
              <a:r>
                <a:rPr lang="en-US" b="0" i="0">
                  <a:latin typeface="Cambria Math" panose="02040503050406030204" pitchFamily="18" charset="0"/>
                </a:rPr>
                <a:t>2</a:t>
              </a:r>
              <a:r>
                <a:rPr lang="el-GR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π×</a:t>
              </a:r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1000√((𝐽_𝑚𝑜𝑡𝑜𝑟+𝐽_𝑐𝑜𝑢𝑝𝑙𝑖𝑛𝑔+𝐽_𝑠𝑐𝑟𝑒𝑤)/𝑚_𝑙𝑜𝑎𝑑 )</a:t>
              </a:r>
              <a:endParaRPr lang="en-US"/>
            </a:p>
          </xdr:txBody>
        </xdr:sp>
      </mc:Fallback>
    </mc:AlternateContent>
    <xdr:clientData/>
  </xdr:twoCellAnchor>
  <xdr:twoCellAnchor>
    <xdr:from>
      <xdr:col>4</xdr:col>
      <xdr:colOff>823783</xdr:colOff>
      <xdr:row>34</xdr:row>
      <xdr:rowOff>0</xdr:rowOff>
    </xdr:from>
    <xdr:to>
      <xdr:col>7</xdr:col>
      <xdr:colOff>687806</xdr:colOff>
      <xdr:row>37</xdr:row>
      <xdr:rowOff>7938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1">
              <a:extLst>
                <a:ext uri="{FF2B5EF4-FFF2-40B4-BE49-F238E27FC236}">
                  <a16:creationId xmlns:a16="http://schemas.microsoft.com/office/drawing/2014/main" id="{C6B6BD5B-2F2A-C8A7-5A49-82074637C17A}"/>
                </a:ext>
              </a:extLst>
            </xdr:cNvPr>
            <xdr:cNvSpPr txBox="1"/>
          </xdr:nvSpPr>
          <xdr:spPr>
            <a:xfrm>
              <a:off x="6916351" y="5560541"/>
              <a:ext cx="2077941" cy="49705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𝜔</m:t>
                        </m:r>
                      </m:e>
                      <m:sub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en-US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b="0" i="1">
                            <a:latin typeface="Cambria Math" panose="02040503050406030204" pitchFamily="18" charset="0"/>
                          </a:rPr>
                          <m:t>60</m:t>
                        </m:r>
                        <m: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×1000×</m:t>
                        </m:r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𝑣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𝑙𝑖𝑛𝑒𝑎𝑟</m:t>
                            </m:r>
                          </m:sub>
                        </m:sSub>
                      </m:num>
                      <m:den>
                        <m:r>
                          <a:rPr lang="en-US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ℓ</m:t>
                        </m:r>
                      </m:den>
                    </m:f>
                  </m:oMath>
                </m:oMathPara>
              </a14:m>
              <a:endParaRPr lang="en-US"/>
            </a:p>
          </xdr:txBody>
        </xdr:sp>
      </mc:Choice>
      <mc:Fallback>
        <xdr:sp macro="" textlink="">
          <xdr:nvSpPr>
            <xdr:cNvPr id="5" name="TextBox 1">
              <a:extLst>
                <a:ext uri="{FF2B5EF4-FFF2-40B4-BE49-F238E27FC236}">
                  <a16:creationId xmlns:a16="http://schemas.microsoft.com/office/drawing/2014/main" id="{C6B6BD5B-2F2A-C8A7-5A49-82074637C17A}"/>
                </a:ext>
              </a:extLst>
            </xdr:cNvPr>
            <xdr:cNvSpPr txBox="1"/>
          </xdr:nvSpPr>
          <xdr:spPr>
            <a:xfrm>
              <a:off x="6916351" y="5560541"/>
              <a:ext cx="2077941" cy="49705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latin typeface="Cambria Math" panose="02040503050406030204" pitchFamily="18" charset="0"/>
                  <a:ea typeface="Cambria Math" panose="02040503050406030204" pitchFamily="18" charset="0"/>
                </a:rPr>
                <a:t>𝜔_</a:t>
              </a:r>
              <a:r>
                <a:rPr lang="en-US" b="0" i="0">
                  <a:latin typeface="Cambria Math" panose="02040503050406030204" pitchFamily="18" charset="0"/>
                </a:rPr>
                <a:t>𝑚=(60</a:t>
              </a:r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×1000×𝑣_𝑙𝑖𝑛𝑒𝑎𝑟)/ℓ</a:t>
              </a:r>
              <a:endParaRPr lang="en-US"/>
            </a:p>
          </xdr:txBody>
        </xdr:sp>
      </mc:Fallback>
    </mc:AlternateContent>
    <xdr:clientData/>
  </xdr:twoCellAnchor>
  <xdr:twoCellAnchor editAs="oneCell">
    <xdr:from>
      <xdr:col>4</xdr:col>
      <xdr:colOff>411891</xdr:colOff>
      <xdr:row>51</xdr:row>
      <xdr:rowOff>154459</xdr:rowOff>
    </xdr:from>
    <xdr:to>
      <xdr:col>7</xdr:col>
      <xdr:colOff>534772</xdr:colOff>
      <xdr:row>57</xdr:row>
      <xdr:rowOff>27116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BE344B-2FEE-C147-BF1A-753092C4B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459" y="8486689"/>
          <a:ext cx="2336800" cy="850900"/>
        </a:xfrm>
        <a:prstGeom prst="rect">
          <a:avLst/>
        </a:prstGeom>
      </xdr:spPr>
    </xdr:pic>
    <xdr:clientData/>
  </xdr:twoCellAnchor>
  <xdr:twoCellAnchor>
    <xdr:from>
      <xdr:col>4</xdr:col>
      <xdr:colOff>823783</xdr:colOff>
      <xdr:row>26</xdr:row>
      <xdr:rowOff>0</xdr:rowOff>
    </xdr:from>
    <xdr:to>
      <xdr:col>11</xdr:col>
      <xdr:colOff>546442</xdr:colOff>
      <xdr:row>29</xdr:row>
      <xdr:rowOff>34035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12E7AB28-E820-A44B-B1CF-5C847EB66EDB}"/>
            </a:ext>
          </a:extLst>
        </xdr:cNvPr>
        <xdr:cNvSpPr>
          <a:spLocks noRot="1" noChangeAspect="1" noMove="1" noResize="1" noEditPoints="1" noAdjustHandles="1" noChangeArrowheads="1" noChangeShapeType="1" noTextEdit="1"/>
        </xdr:cNvSpPr>
      </xdr:nvSpPr>
      <xdr:spPr>
        <a:xfrm>
          <a:off x="6916351" y="4256216"/>
          <a:ext cx="4716848" cy="523157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4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4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4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4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4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9pPr>
        </a:lstStyle>
        <a:p>
          <a:pPr>
            <a:defRPr/>
          </a:pPr>
          <a:r>
            <a:rPr lang="en-US">
              <a:noFill/>
            </a:rPr>
            <a:t> 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6</xdr:row>
      <xdr:rowOff>190500</xdr:rowOff>
    </xdr:from>
    <xdr:to>
      <xdr:col>12</xdr:col>
      <xdr:colOff>241300</xdr:colOff>
      <xdr:row>33</xdr:row>
      <xdr:rowOff>76200</xdr:rowOff>
    </xdr:to>
    <xdr:grpSp>
      <xdr:nvGrpSpPr>
        <xdr:cNvPr id="2919" name="Group 1">
          <a:extLst>
            <a:ext uri="{FF2B5EF4-FFF2-40B4-BE49-F238E27FC236}">
              <a16:creationId xmlns:a16="http://schemas.microsoft.com/office/drawing/2014/main" id="{ACF75933-1AF0-19D7-B96B-353AF0CC5CFA}"/>
            </a:ext>
          </a:extLst>
        </xdr:cNvPr>
        <xdr:cNvGrpSpPr>
          <a:grpSpLocks/>
        </xdr:cNvGrpSpPr>
      </xdr:nvGrpSpPr>
      <xdr:grpSpPr bwMode="auto">
        <a:xfrm>
          <a:off x="4622800" y="1295400"/>
          <a:ext cx="5334000" cy="4724400"/>
          <a:chOff x="1905000" y="1548063"/>
          <a:chExt cx="5334000" cy="4724400"/>
        </a:xfrm>
      </xdr:grpSpPr>
      <xdr:pic>
        <xdr:nvPicPr>
          <xdr:cNvPr id="2920" name="Picture 2" descr="A picture containing indoor, toy, road, small&#10;&#10;Description automatically generated">
            <a:extLst>
              <a:ext uri="{FF2B5EF4-FFF2-40B4-BE49-F238E27FC236}">
                <a16:creationId xmlns:a16="http://schemas.microsoft.com/office/drawing/2014/main" id="{B727581C-D5B7-C28D-49CA-CABC3F6A62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0" y="1548063"/>
            <a:ext cx="5334000" cy="472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74060B6-B734-E530-58D3-2333C8FC4793}"/>
              </a:ext>
            </a:extLst>
          </xdr:cNvPr>
          <xdr:cNvCxnSpPr/>
        </xdr:nvCxnSpPr>
        <xdr:spPr>
          <a:xfrm flipV="1">
            <a:off x="2362200" y="1979863"/>
            <a:ext cx="3886200" cy="68580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TextBox 9">
            <a:extLst>
              <a:ext uri="{FF2B5EF4-FFF2-40B4-BE49-F238E27FC236}">
                <a16:creationId xmlns:a16="http://schemas.microsoft.com/office/drawing/2014/main" id="{26117445-9D04-DC7D-2EF1-C2F692D1377C}"/>
              </a:ext>
            </a:extLst>
          </xdr:cNvPr>
          <xdr:cNvSpPr txBox="1"/>
        </xdr:nvSpPr>
        <xdr:spPr>
          <a:xfrm>
            <a:off x="3822700" y="1979863"/>
            <a:ext cx="495300" cy="304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4.32</a:t>
            </a:r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7F420AAF-4C24-8E73-BCB3-3EFB7A95B757}"/>
              </a:ext>
            </a:extLst>
          </xdr:cNvPr>
          <xdr:cNvCxnSpPr>
            <a:cxnSpLocks/>
          </xdr:cNvCxnSpPr>
        </xdr:nvCxnSpPr>
        <xdr:spPr>
          <a:xfrm flipV="1">
            <a:off x="3759200" y="3021263"/>
            <a:ext cx="2108200" cy="381000"/>
          </a:xfrm>
          <a:prstGeom prst="line">
            <a:avLst/>
          </a:prstGeom>
          <a:ln w="38100">
            <a:solidFill>
              <a:srgbClr val="7030A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3FFF131C-1D6F-639F-B813-5968DC233D11}"/>
              </a:ext>
            </a:extLst>
          </xdr:cNvPr>
          <xdr:cNvCxnSpPr/>
        </xdr:nvCxnSpPr>
        <xdr:spPr>
          <a:xfrm>
            <a:off x="4838700" y="2284663"/>
            <a:ext cx="0" cy="685800"/>
          </a:xfrm>
          <a:prstGeom prst="line">
            <a:avLst/>
          </a:prstGeom>
          <a:ln w="38100"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15">
            <a:extLst>
              <a:ext uri="{FF2B5EF4-FFF2-40B4-BE49-F238E27FC236}">
                <a16:creationId xmlns:a16="http://schemas.microsoft.com/office/drawing/2014/main" id="{F8B4701C-10DD-1ACB-A249-8A98EAB572C8}"/>
              </a:ext>
            </a:extLst>
          </xdr:cNvPr>
          <xdr:cNvSpPr txBox="1"/>
        </xdr:nvSpPr>
        <xdr:spPr>
          <a:xfrm>
            <a:off x="4876800" y="2386263"/>
            <a:ext cx="419100" cy="304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chemeClr val="accent1">
                    <a:lumMod val="60000"/>
                    <a:lumOff val="40000"/>
                  </a:schemeClr>
                </a:solidFill>
              </a:rPr>
              <a:t>.75</a:t>
            </a: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8E6F62CB-9B1F-143D-178E-CE272779C387}"/>
              </a:ext>
            </a:extLst>
          </xdr:cNvPr>
          <xdr:cNvCxnSpPr>
            <a:cxnSpLocks/>
          </xdr:cNvCxnSpPr>
        </xdr:nvCxnSpPr>
        <xdr:spPr>
          <a:xfrm>
            <a:off x="2514600" y="2627563"/>
            <a:ext cx="0" cy="1600200"/>
          </a:xfrm>
          <a:prstGeom prst="line">
            <a:avLst/>
          </a:prstGeom>
          <a:ln w="38100"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18">
            <a:extLst>
              <a:ext uri="{FF2B5EF4-FFF2-40B4-BE49-F238E27FC236}">
                <a16:creationId xmlns:a16="http://schemas.microsoft.com/office/drawing/2014/main" id="{A6849699-A891-9E77-A035-8066A41D7E46}"/>
              </a:ext>
            </a:extLst>
          </xdr:cNvPr>
          <xdr:cNvSpPr txBox="1"/>
        </xdr:nvSpPr>
        <xdr:spPr>
          <a:xfrm>
            <a:off x="2514600" y="3135563"/>
            <a:ext cx="495300" cy="304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4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chemeClr val="accent1">
                    <a:lumMod val="60000"/>
                    <a:lumOff val="40000"/>
                  </a:schemeClr>
                </a:solidFill>
              </a:rPr>
              <a:t>1.75</a:t>
            </a:r>
          </a:p>
        </xdr:txBody>
      </xdr:sp>
      <xdr:sp macro="" textlink="">
        <xdr:nvSpPr>
          <xdr:cNvPr id="11" name="TextBox 20">
            <a:extLst>
              <a:ext uri="{FF2B5EF4-FFF2-40B4-BE49-F238E27FC236}">
                <a16:creationId xmlns:a16="http://schemas.microsoft.com/office/drawing/2014/main" id="{19D08829-37E4-D344-A437-CB6E9458E6E9}"/>
              </a:ext>
            </a:extLst>
          </xdr:cNvPr>
          <xdr:cNvSpPr txBox="1"/>
        </xdr:nvSpPr>
        <xdr:spPr>
          <a:xfrm>
            <a:off x="5080000" y="2830763"/>
            <a:ext cx="508000" cy="30480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l" rtl="0">
              <a:defRPr sz="1000"/>
            </a:pPr>
            <a:r>
              <a:rPr lang="en-US" sz="1400" b="1" i="0" u="none" strike="noStrike" baseline="0">
                <a:solidFill>
                  <a:srgbClr val="800080"/>
                </a:solidFill>
                <a:latin typeface="Times New Roman" pitchFamily="1" charset="0"/>
                <a:cs typeface="Times New Roman" pitchFamily="1" charset="0"/>
              </a:rPr>
              <a:t>2.34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topLeftCell="A34" zoomScale="149" zoomScaleNormal="148" workbookViewId="0">
      <selection activeCell="B48" sqref="B48:C54"/>
    </sheetView>
  </sheetViews>
  <sheetFormatPr baseColWidth="10" defaultColWidth="9.1640625" defaultRowHeight="13" x14ac:dyDescent="0.15"/>
  <cols>
    <col min="1" max="1" width="56.33203125" style="1" customWidth="1"/>
    <col min="2" max="2" width="10" style="1" customWidth="1"/>
    <col min="3" max="4" width="9.1640625" style="1"/>
    <col min="5" max="5" width="10.83203125" style="1" bestFit="1" customWidth="1"/>
    <col min="6" max="16384" width="9.1640625" style="1"/>
  </cols>
  <sheetData>
    <row r="1" spans="1:5" x14ac:dyDescent="0.15">
      <c r="A1" s="27" t="s">
        <v>8</v>
      </c>
      <c r="B1" s="27"/>
      <c r="C1" s="27"/>
    </row>
    <row r="2" spans="1:5" x14ac:dyDescent="0.15">
      <c r="A2" s="29" t="s">
        <v>32</v>
      </c>
      <c r="B2" s="29"/>
      <c r="C2" s="29"/>
    </row>
    <row r="3" spans="1:5" x14ac:dyDescent="0.15">
      <c r="A3" s="29" t="s">
        <v>33</v>
      </c>
      <c r="B3" s="29"/>
      <c r="C3" s="29"/>
    </row>
    <row r="4" spans="1:5" ht="14" thickBot="1" x14ac:dyDescent="0.2">
      <c r="A4" s="28" t="s">
        <v>6</v>
      </c>
      <c r="B4" s="28"/>
      <c r="C4" s="28"/>
    </row>
    <row r="5" spans="1:5" x14ac:dyDescent="0.15">
      <c r="A5" s="34" t="s">
        <v>43</v>
      </c>
      <c r="B5" s="35"/>
      <c r="C5" s="36"/>
    </row>
    <row r="6" spans="1:5" x14ac:dyDescent="0.15">
      <c r="A6" s="2" t="s">
        <v>0</v>
      </c>
      <c r="B6" s="22">
        <v>1000</v>
      </c>
      <c r="C6" s="23"/>
    </row>
    <row r="7" spans="1:5" x14ac:dyDescent="0.15">
      <c r="A7" s="2" t="s">
        <v>40</v>
      </c>
      <c r="B7" s="37">
        <f>gammin</f>
        <v>476.14284086054334</v>
      </c>
      <c r="C7" s="23"/>
    </row>
    <row r="8" spans="1:5" x14ac:dyDescent="0.15">
      <c r="A8" s="8" t="s">
        <v>20</v>
      </c>
      <c r="B8" s="46"/>
      <c r="C8" s="51"/>
    </row>
    <row r="9" spans="1:5" x14ac:dyDescent="0.15">
      <c r="A9" s="6" t="s">
        <v>25</v>
      </c>
      <c r="B9" s="49">
        <v>10</v>
      </c>
      <c r="C9" s="51"/>
    </row>
    <row r="10" spans="1:5" x14ac:dyDescent="0.15">
      <c r="A10" s="9" t="s">
        <v>36</v>
      </c>
      <c r="B10" s="49"/>
      <c r="C10" s="51"/>
    </row>
    <row r="11" spans="1:5" x14ac:dyDescent="0.15">
      <c r="A11" s="6" t="s">
        <v>28</v>
      </c>
      <c r="B11" s="49">
        <v>1000</v>
      </c>
      <c r="C11" s="51"/>
    </row>
    <row r="12" spans="1:5" x14ac:dyDescent="0.15">
      <c r="A12" s="21" t="s">
        <v>27</v>
      </c>
      <c r="B12" s="48">
        <v>100</v>
      </c>
      <c r="C12" s="51"/>
    </row>
    <row r="13" spans="1:5" x14ac:dyDescent="0.15">
      <c r="A13" s="6" t="s">
        <v>29</v>
      </c>
      <c r="B13" s="46">
        <f>2*x/B11</f>
        <v>0.2</v>
      </c>
      <c r="C13" s="51"/>
    </row>
    <row r="14" spans="1:5" x14ac:dyDescent="0.15">
      <c r="A14" s="6" t="s">
        <v>30</v>
      </c>
      <c r="B14" s="46">
        <f>2*x/taccel^2/1000</f>
        <v>4.9999999999999991</v>
      </c>
    </row>
    <row r="15" spans="1:5" x14ac:dyDescent="0.15">
      <c r="D15" s="57"/>
      <c r="E15" s="47"/>
    </row>
    <row r="16" spans="1:5" x14ac:dyDescent="0.15">
      <c r="A16" s="27" t="s">
        <v>1</v>
      </c>
      <c r="B16" s="60"/>
      <c r="C16" s="60"/>
    </row>
    <row r="17" spans="1:5" x14ac:dyDescent="0.15">
      <c r="A17" s="53" t="s">
        <v>42</v>
      </c>
      <c r="B17" s="4">
        <v>0.1</v>
      </c>
      <c r="C17" s="5">
        <f>B17*100000/1000000</f>
        <v>0.01</v>
      </c>
    </row>
    <row r="18" spans="1:5" x14ac:dyDescent="0.15">
      <c r="A18" s="53" t="s">
        <v>4</v>
      </c>
      <c r="B18" s="55">
        <v>1.2</v>
      </c>
      <c r="C18" s="54"/>
    </row>
    <row r="19" spans="1:5" x14ac:dyDescent="0.15">
      <c r="A19" s="53" t="s">
        <v>3</v>
      </c>
      <c r="B19" s="55">
        <v>1.8</v>
      </c>
      <c r="C19" s="54"/>
    </row>
    <row r="20" spans="1:5" x14ac:dyDescent="0.15">
      <c r="A20" s="53" t="s">
        <v>2</v>
      </c>
      <c r="B20" s="55">
        <v>1.8</v>
      </c>
      <c r="C20" s="51"/>
    </row>
    <row r="21" spans="1:5" x14ac:dyDescent="0.15">
      <c r="A21" s="53" t="s">
        <v>14</v>
      </c>
      <c r="B21" s="55">
        <v>1.2</v>
      </c>
      <c r="C21" s="51"/>
    </row>
    <row r="22" spans="1:5" x14ac:dyDescent="0.15">
      <c r="A22" s="61" t="s">
        <v>22</v>
      </c>
      <c r="B22" s="62"/>
      <c r="C22" s="51"/>
    </row>
    <row r="23" spans="1:5" x14ac:dyDescent="0.15">
      <c r="A23" s="53" t="s">
        <v>23</v>
      </c>
      <c r="B23" s="55">
        <v>2</v>
      </c>
      <c r="C23" s="51"/>
    </row>
    <row r="24" spans="1:5" x14ac:dyDescent="0.15">
      <c r="A24" s="58" t="s">
        <v>24</v>
      </c>
      <c r="B24" s="59">
        <v>2</v>
      </c>
      <c r="C24" s="51"/>
    </row>
    <row r="25" spans="1:5" x14ac:dyDescent="0.15">
      <c r="A25" s="27" t="s">
        <v>41</v>
      </c>
      <c r="B25" s="27"/>
      <c r="C25" s="27"/>
      <c r="D25" s="27"/>
    </row>
    <row r="26" spans="1:5" x14ac:dyDescent="0.15">
      <c r="A26" s="3"/>
      <c r="B26" s="56" t="s">
        <v>17</v>
      </c>
      <c r="C26" s="3" t="s">
        <v>18</v>
      </c>
      <c r="D26" s="3" t="s">
        <v>21</v>
      </c>
    </row>
    <row r="27" spans="1:5" x14ac:dyDescent="0.15">
      <c r="A27" s="6" t="s">
        <v>49</v>
      </c>
      <c r="B27" s="38">
        <f>(2*gam/(PI()*B21*tau))^(1/3)</f>
        <v>37.575055059560874</v>
      </c>
      <c r="C27" s="4">
        <v>16</v>
      </c>
      <c r="D27" s="39">
        <f>C27*dcl</f>
        <v>32</v>
      </c>
    </row>
    <row r="28" spans="1:5" x14ac:dyDescent="0.15">
      <c r="A28" s="6" t="s">
        <v>5</v>
      </c>
      <c r="B28" s="38">
        <f>B27*B21</f>
        <v>45.090066071473046</v>
      </c>
      <c r="C28" s="4">
        <v>1200</v>
      </c>
      <c r="D28" s="39">
        <f>D27*lcl</f>
        <v>64</v>
      </c>
    </row>
    <row r="29" spans="1:5" x14ac:dyDescent="0.15">
      <c r="A29" s="21" t="s">
        <v>19</v>
      </c>
      <c r="B29" s="40">
        <v>8000</v>
      </c>
      <c r="C29" s="4">
        <v>7900</v>
      </c>
      <c r="D29" s="4">
        <f>C29</f>
        <v>7900</v>
      </c>
    </row>
    <row r="30" spans="1:5" x14ac:dyDescent="0.15">
      <c r="A30" s="21" t="s">
        <v>16</v>
      </c>
      <c r="B30" s="40">
        <f>PI()*B27^2/4*B28*B29*0.000000001</f>
        <v>0.39999999999999952</v>
      </c>
      <c r="C30" s="41">
        <f>PI()*C27^2/4*C28*C29*0.000000001</f>
        <v>1.9060670947859994</v>
      </c>
      <c r="D30" s="41">
        <f>PI()*D27^2/4*D28*D29*0.000000001</f>
        <v>0.40662764688767988</v>
      </c>
      <c r="E30" s="25"/>
    </row>
    <row r="31" spans="1:5" x14ac:dyDescent="0.15">
      <c r="A31" s="6" t="s">
        <v>15</v>
      </c>
      <c r="B31" s="42">
        <f>0.5*B30*(B27/2000)^2</f>
        <v>7.0594238136451471E-5</v>
      </c>
      <c r="C31" s="43">
        <f>0.5*C30*(C27/2000)^2</f>
        <v>6.0994147033151976E-5</v>
      </c>
      <c r="D31" s="43">
        <f>0.5*D30*(D27/2000)^2</f>
        <v>5.2048338801623021E-5</v>
      </c>
      <c r="E31" s="25"/>
    </row>
    <row r="32" spans="1:5" x14ac:dyDescent="0.15">
      <c r="A32" s="26" t="s">
        <v>26</v>
      </c>
      <c r="B32" s="43">
        <f>B31+C31+D31</f>
        <v>1.8363672397122646E-4</v>
      </c>
      <c r="C32" s="44"/>
      <c r="D32" s="45"/>
      <c r="E32" s="25"/>
    </row>
    <row r="33" spans="1:5" x14ac:dyDescent="0.15">
      <c r="A33" s="26"/>
      <c r="B33" s="68" t="s">
        <v>45</v>
      </c>
      <c r="C33" s="69" t="s">
        <v>47</v>
      </c>
      <c r="D33" s="45"/>
      <c r="E33" s="25"/>
    </row>
    <row r="34" spans="1:5" x14ac:dyDescent="0.15">
      <c r="A34" s="6" t="s">
        <v>61</v>
      </c>
      <c r="B34" s="38">
        <f>2*PI()*1000*SQRT(Jtotal/mload)</f>
        <v>26.925243316323428</v>
      </c>
      <c r="C34" s="49">
        <v>16</v>
      </c>
      <c r="D34" s="48"/>
      <c r="E34" s="25"/>
    </row>
    <row r="35" spans="1:5" x14ac:dyDescent="0.15">
      <c r="A35" s="6" t="s">
        <v>44</v>
      </c>
      <c r="B35" s="38">
        <f>lead/C27</f>
        <v>1.6828277072702142</v>
      </c>
      <c r="C35" s="46">
        <f>C34/C27</f>
        <v>1</v>
      </c>
      <c r="D35" s="48"/>
      <c r="E35" s="25"/>
    </row>
    <row r="36" spans="1:5" x14ac:dyDescent="0.15">
      <c r="A36" s="6" t="s">
        <v>34</v>
      </c>
      <c r="B36" s="63">
        <v>0.9</v>
      </c>
      <c r="C36" s="49">
        <v>0.9</v>
      </c>
      <c r="D36" s="48"/>
      <c r="E36" s="25"/>
    </row>
    <row r="37" spans="1:5" x14ac:dyDescent="0.15">
      <c r="A37" s="6" t="s">
        <v>31</v>
      </c>
      <c r="B37" s="47">
        <f>Jtotal/(lead/(2*PI()*1000))^2</f>
        <v>9.9999999999999982</v>
      </c>
      <c r="C37" s="50">
        <f>Jtotal/(C34/(2*PI()*1000))^2</f>
        <v>28.319090923563252</v>
      </c>
      <c r="D37" s="48"/>
      <c r="E37" s="25"/>
    </row>
    <row r="38" spans="1:5" x14ac:dyDescent="0.15">
      <c r="A38" s="6" t="s">
        <v>35</v>
      </c>
      <c r="B38" s="64">
        <f>mload+mrotrefl</f>
        <v>20</v>
      </c>
      <c r="C38" s="50">
        <f>mload+C37</f>
        <v>38.319090923563252</v>
      </c>
      <c r="D38" s="48"/>
      <c r="E38" s="25"/>
    </row>
    <row r="39" spans="1:5" x14ac:dyDescent="0.15">
      <c r="A39" s="6" t="s">
        <v>38</v>
      </c>
      <c r="B39" s="50">
        <f>meff*accel</f>
        <v>99.999999999999986</v>
      </c>
      <c r="C39" s="50">
        <f>C38*accel</f>
        <v>191.59545461781622</v>
      </c>
      <c r="D39" s="48"/>
      <c r="E39" s="25"/>
    </row>
    <row r="40" spans="1:5" x14ac:dyDescent="0.15">
      <c r="A40" s="4" t="s">
        <v>37</v>
      </c>
      <c r="B40" s="65"/>
      <c r="C40" s="46"/>
      <c r="D40" s="48"/>
      <c r="E40" s="25"/>
    </row>
    <row r="41" spans="1:5" x14ac:dyDescent="0.15">
      <c r="A41" s="6" t="s">
        <v>39</v>
      </c>
      <c r="B41" s="66">
        <f>Fscrew*lead/(2*PI()*etascrew)</f>
        <v>476.14284086054334</v>
      </c>
      <c r="C41" s="67">
        <f>C39*C34/(2*PI()*C36)</f>
        <v>542.10424313536635</v>
      </c>
      <c r="D41" s="48"/>
      <c r="E41" s="25"/>
    </row>
    <row r="42" spans="1:5" x14ac:dyDescent="0.15">
      <c r="A42" s="6" t="s">
        <v>46</v>
      </c>
      <c r="B42" s="52">
        <f>60*vmax/lead</f>
        <v>2228.3921186935013</v>
      </c>
      <c r="C42" s="52">
        <f>60*vmax/C34</f>
        <v>3750</v>
      </c>
      <c r="D42" s="48"/>
      <c r="E42" s="25"/>
    </row>
    <row r="43" spans="1:5" x14ac:dyDescent="0.15">
      <c r="A43" s="6" t="s">
        <v>59</v>
      </c>
      <c r="B43" s="52">
        <f>gammin/1000*wmotor*2*PI()/60</f>
        <v>111.11111111111109</v>
      </c>
      <c r="C43" s="52">
        <f>C41/1000*C42*2*PI()/60</f>
        <v>212.88383846424023</v>
      </c>
      <c r="D43" s="48"/>
      <c r="E43" s="25"/>
    </row>
    <row r="44" spans="1:5" x14ac:dyDescent="0.15">
      <c r="A44" s="3" t="s">
        <v>56</v>
      </c>
      <c r="B44" s="52"/>
      <c r="C44" s="52"/>
      <c r="D44" s="48"/>
      <c r="E44" s="25"/>
    </row>
    <row r="45" spans="1:5" x14ac:dyDescent="0.15">
      <c r="A45" s="6" t="s">
        <v>57</v>
      </c>
      <c r="B45" s="70">
        <v>200000</v>
      </c>
      <c r="C45" s="52"/>
      <c r="D45" s="48"/>
      <c r="E45" s="25"/>
    </row>
    <row r="46" spans="1:5" x14ac:dyDescent="0.15">
      <c r="A46" s="6" t="s">
        <v>58</v>
      </c>
      <c r="B46" s="72">
        <v>0.28999999999999998</v>
      </c>
      <c r="C46" s="52"/>
      <c r="D46" s="48"/>
      <c r="E46" s="25"/>
    </row>
    <row r="47" spans="1:5" x14ac:dyDescent="0.15">
      <c r="A47" s="6" t="s">
        <v>48</v>
      </c>
      <c r="B47" s="4">
        <v>0.9</v>
      </c>
      <c r="C47" s="46"/>
      <c r="D47" s="48"/>
      <c r="E47" s="25"/>
    </row>
    <row r="48" spans="1:5" x14ac:dyDescent="0.15">
      <c r="A48" s="21" t="s">
        <v>52</v>
      </c>
      <c r="B48" s="4">
        <f>B47*C27</f>
        <v>14.4</v>
      </c>
      <c r="C48" s="46"/>
      <c r="D48" s="48"/>
      <c r="E48" s="25"/>
    </row>
    <row r="49" spans="1:5" x14ac:dyDescent="0.15">
      <c r="A49" s="21" t="s">
        <v>50</v>
      </c>
      <c r="B49" s="52">
        <f>PI()*dscrews^2/4</f>
        <v>162.86016316209489</v>
      </c>
      <c r="C49" s="46"/>
      <c r="D49" s="48"/>
      <c r="E49" s="25"/>
    </row>
    <row r="50" spans="1:5" x14ac:dyDescent="0.15">
      <c r="A50" s="21" t="s">
        <v>51</v>
      </c>
      <c r="B50" s="52">
        <f>PI()*dscrews^4/32</f>
        <v>4221.3354291614996</v>
      </c>
      <c r="C50" s="46"/>
      <c r="D50" s="48"/>
    </row>
    <row r="51" spans="1:5" x14ac:dyDescent="0.15">
      <c r="A51" s="21" t="s">
        <v>53</v>
      </c>
      <c r="B51" s="39">
        <f>dscrews/2</f>
        <v>7.2</v>
      </c>
      <c r="C51" s="46"/>
      <c r="D51" s="48"/>
      <c r="E51" s="25"/>
    </row>
    <row r="52" spans="1:5" x14ac:dyDescent="0.15">
      <c r="A52" s="21" t="s">
        <v>55</v>
      </c>
      <c r="B52" s="77">
        <f>Fscrew*vmax/(ascrew*escrew)</f>
        <v>3.0701185010010667E-3</v>
      </c>
      <c r="C52" s="77"/>
      <c r="D52" s="48"/>
      <c r="E52" s="25"/>
    </row>
    <row r="53" spans="1:5" x14ac:dyDescent="0.15">
      <c r="A53" s="21" t="s">
        <v>60</v>
      </c>
      <c r="B53" s="74">
        <f>Fscrew/B52</f>
        <v>32572.032632418977</v>
      </c>
      <c r="C53" s="46"/>
      <c r="D53" s="48"/>
      <c r="E53" s="25"/>
    </row>
    <row r="54" spans="1:5" x14ac:dyDescent="0.15">
      <c r="A54" s="21" t="s">
        <v>54</v>
      </c>
      <c r="B54" s="71">
        <f>dscrews/2*gammin/IPscrew</f>
        <v>0.81211941380286723</v>
      </c>
      <c r="C54" s="24"/>
      <c r="E54" s="25"/>
    </row>
    <row r="55" spans="1:5" x14ac:dyDescent="0.15">
      <c r="A55" s="6" t="s">
        <v>68</v>
      </c>
      <c r="B55" s="73">
        <f>gammin*vmax/(IPscrew*escrew/(2*(1+vscrew)))</f>
        <v>1.4550472830634706E-3</v>
      </c>
      <c r="C55" s="73">
        <f>C41*vmax/(IPscrew*escrew/(2*(1+vscrew)))</f>
        <v>1.6566190613843976E-3</v>
      </c>
      <c r="E55" s="25"/>
    </row>
    <row r="56" spans="1:5" x14ac:dyDescent="0.15">
      <c r="A56" s="6" t="s">
        <v>62</v>
      </c>
      <c r="B56" s="76">
        <f>gammin/thetator</f>
        <v>327235.30458616273</v>
      </c>
      <c r="C56" s="76">
        <f>C41/C55</f>
        <v>327235.30458616273</v>
      </c>
      <c r="E56" s="25"/>
    </row>
    <row r="57" spans="1:5" x14ac:dyDescent="0.15">
      <c r="A57" s="6" t="s">
        <v>63</v>
      </c>
      <c r="B57" s="77">
        <f>thetator/(2*PI())*lead</f>
        <v>6.2352931224983052E-3</v>
      </c>
      <c r="C57" s="77">
        <f>C55/(2*PI())*C34</f>
        <v>4.2185457990333262E-3</v>
      </c>
      <c r="E57" s="25"/>
    </row>
    <row r="58" spans="1:5" x14ac:dyDescent="0.15">
      <c r="A58" s="6" t="s">
        <v>65</v>
      </c>
      <c r="B58" s="7">
        <f>Fscrew/B57</f>
        <v>16037.738408668882</v>
      </c>
      <c r="C58" s="7">
        <f>C39/C57</f>
        <v>45417.417220341675</v>
      </c>
    </row>
    <row r="59" spans="1:5" x14ac:dyDescent="0.15">
      <c r="A59" s="6" t="s">
        <v>67</v>
      </c>
      <c r="B59" s="74">
        <f>1/(1/kaxial+1/Kaxialtors)</f>
        <v>10746.434875321958</v>
      </c>
      <c r="C59" s="74">
        <f>1/(1/kaxial+1/C58)</f>
        <v>18968.432250439724</v>
      </c>
    </row>
    <row r="60" spans="1:5" x14ac:dyDescent="0.15">
      <c r="A60" s="6" t="s">
        <v>66</v>
      </c>
      <c r="B60" s="52">
        <f>SQRT(1000*keff*(mrotrefl+mload)/(mload*mrotrefl))/(2*PI())</f>
        <v>233.32825605816791</v>
      </c>
      <c r="C60" s="75">
        <f>SQRT(1000*C59*(C37+mload)/(mload*C37))/(2*PI())</f>
        <v>254.97863701024787</v>
      </c>
      <c r="E60" s="1" t="s">
        <v>64</v>
      </c>
    </row>
    <row r="79" spans="1:1" x14ac:dyDescent="0.15">
      <c r="A79" s="1">
        <f>4/0.4</f>
        <v>10</v>
      </c>
    </row>
  </sheetData>
  <mergeCells count="7">
    <mergeCell ref="A16:C16"/>
    <mergeCell ref="A1:C1"/>
    <mergeCell ref="A4:C4"/>
    <mergeCell ref="A3:C3"/>
    <mergeCell ref="A2:C2"/>
    <mergeCell ref="A25:D25"/>
    <mergeCell ref="A22:B22"/>
  </mergeCells>
  <phoneticPr fontId="2" type="noConversion"/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B8" sqref="B8"/>
    </sheetView>
  </sheetViews>
  <sheetFormatPr baseColWidth="10" defaultColWidth="8.83203125" defaultRowHeight="13" x14ac:dyDescent="0.15"/>
  <cols>
    <col min="1" max="1" width="30.33203125" customWidth="1"/>
  </cols>
  <sheetData>
    <row r="4" spans="1:3" ht="16" x14ac:dyDescent="0.2">
      <c r="A4" s="10"/>
      <c r="B4" s="11" t="s">
        <v>9</v>
      </c>
      <c r="C4" s="11" t="s">
        <v>10</v>
      </c>
    </row>
    <row r="5" spans="1:3" ht="16" x14ac:dyDescent="0.2">
      <c r="A5" s="12" t="s">
        <v>7</v>
      </c>
      <c r="B5" s="13"/>
      <c r="C5" s="13"/>
    </row>
    <row r="6" spans="1:3" ht="16" x14ac:dyDescent="0.2">
      <c r="A6" s="14" t="s">
        <v>11</v>
      </c>
      <c r="B6" s="15">
        <v>4.3159999999999998</v>
      </c>
      <c r="C6" s="30">
        <v>1.82</v>
      </c>
    </row>
    <row r="7" spans="1:3" ht="16" x14ac:dyDescent="0.2">
      <c r="A7" s="14" t="s">
        <v>12</v>
      </c>
      <c r="B7" s="15">
        <v>2.34</v>
      </c>
      <c r="C7" s="31"/>
    </row>
    <row r="8" spans="1:3" ht="16" x14ac:dyDescent="0.2">
      <c r="A8" s="12" t="s">
        <v>13</v>
      </c>
      <c r="B8" s="13"/>
      <c r="C8" s="13"/>
    </row>
    <row r="9" spans="1:3" ht="16" x14ac:dyDescent="0.2">
      <c r="A9" s="14" t="s">
        <v>11</v>
      </c>
      <c r="B9" s="13">
        <v>3.5</v>
      </c>
      <c r="C9" s="32">
        <v>1.75</v>
      </c>
    </row>
    <row r="10" spans="1:3" ht="16" x14ac:dyDescent="0.2">
      <c r="A10" s="14" t="s">
        <v>12</v>
      </c>
      <c r="B10" s="13">
        <v>2</v>
      </c>
      <c r="C10" s="33"/>
    </row>
    <row r="11" spans="1:3" ht="16" x14ac:dyDescent="0.2">
      <c r="A11" s="19" t="s">
        <v>11</v>
      </c>
      <c r="B11" s="16"/>
      <c r="C11" s="16"/>
    </row>
    <row r="12" spans="1:3" ht="16" x14ac:dyDescent="0.2">
      <c r="A12" s="20" t="s">
        <v>7</v>
      </c>
      <c r="B12" s="17">
        <v>4.3159999999999998</v>
      </c>
      <c r="C12" s="30">
        <v>1.23</v>
      </c>
    </row>
    <row r="13" spans="1:3" ht="16" x14ac:dyDescent="0.2">
      <c r="A13" s="20" t="s">
        <v>13</v>
      </c>
      <c r="B13" s="16">
        <v>3.5</v>
      </c>
      <c r="C13" s="31"/>
    </row>
    <row r="14" spans="1:3" ht="16" x14ac:dyDescent="0.2">
      <c r="A14" s="19" t="s">
        <v>12</v>
      </c>
      <c r="B14" s="16"/>
      <c r="C14" s="18"/>
    </row>
    <row r="15" spans="1:3" ht="16" x14ac:dyDescent="0.2">
      <c r="A15" s="20" t="s">
        <v>7</v>
      </c>
      <c r="B15" s="17">
        <v>2.3660000000000001</v>
      </c>
      <c r="C15" s="30">
        <v>1.18</v>
      </c>
    </row>
    <row r="16" spans="1:3" ht="16" x14ac:dyDescent="0.2">
      <c r="A16" s="20" t="s">
        <v>13</v>
      </c>
      <c r="B16" s="16">
        <v>2</v>
      </c>
      <c r="C16" s="31"/>
    </row>
  </sheetData>
  <mergeCells count="4">
    <mergeCell ref="C6:C7"/>
    <mergeCell ref="C9:C10"/>
    <mergeCell ref="C12:C13"/>
    <mergeCell ref="C15:C16"/>
  </mergeCells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30</vt:i4>
      </vt:variant>
    </vt:vector>
  </HeadingPairs>
  <TitlesOfParts>
    <vt:vector size="33" baseType="lpstr">
      <vt:lpstr>Sheet1</vt:lpstr>
      <vt:lpstr>motor element size ratios</vt:lpstr>
      <vt:lpstr>Sheet3</vt:lpstr>
      <vt:lpstr>accel</vt:lpstr>
      <vt:lpstr>ascrew</vt:lpstr>
      <vt:lpstr>dcl</vt:lpstr>
      <vt:lpstr>delscrew</vt:lpstr>
      <vt:lpstr>dscrews</vt:lpstr>
      <vt:lpstr>escrew</vt:lpstr>
      <vt:lpstr>etascrew</vt:lpstr>
      <vt:lpstr>Fscrew</vt:lpstr>
      <vt:lpstr>gam</vt:lpstr>
      <vt:lpstr>gammin</vt:lpstr>
      <vt:lpstr>hdrd</vt:lpstr>
      <vt:lpstr>hlhd</vt:lpstr>
      <vt:lpstr>hlrl</vt:lpstr>
      <vt:lpstr>IPscrew</vt:lpstr>
      <vt:lpstr>Jtotal</vt:lpstr>
      <vt:lpstr>kaxial</vt:lpstr>
      <vt:lpstr>Kaxialtors</vt:lpstr>
      <vt:lpstr>keff</vt:lpstr>
      <vt:lpstr>lcl</vt:lpstr>
      <vt:lpstr>lead</vt:lpstr>
      <vt:lpstr>meff</vt:lpstr>
      <vt:lpstr>mload</vt:lpstr>
      <vt:lpstr>mrotrefl</vt:lpstr>
      <vt:lpstr>taccel</vt:lpstr>
      <vt:lpstr>tau</vt:lpstr>
      <vt:lpstr>thetator</vt:lpstr>
      <vt:lpstr>vmax</vt:lpstr>
      <vt:lpstr>vscrew</vt:lpstr>
      <vt:lpstr>wmotor</vt:lpstr>
      <vt:lpstr>x</vt:lpstr>
    </vt:vector>
  </TitlesOfParts>
  <Company>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Slocum</dc:creator>
  <cp:lastModifiedBy>Microsoft Office User</cp:lastModifiedBy>
  <dcterms:created xsi:type="dcterms:W3CDTF">2003-08-13T20:53:29Z</dcterms:created>
  <dcterms:modified xsi:type="dcterms:W3CDTF">2023-06-04T00:39:19Z</dcterms:modified>
</cp:coreProperties>
</file>