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locum/Dropbox (MIT)/ASML/ASML Precision Machine Design Short Course/spreadsheets/"/>
    </mc:Choice>
  </mc:AlternateContent>
  <xr:revisionPtr revIDLastSave="0" documentId="13_ncr:1_{E2B43BD7-4B6E-3D47-8864-EFB8E6C4B0C6}" xr6:coauthVersionLast="36" xr6:coauthVersionMax="36" xr10:uidLastSave="{00000000-0000-0000-0000-000000000000}"/>
  <bookViews>
    <workbookView xWindow="1240" yWindow="460" windowWidth="30660" windowHeight="20520" tabRatio="500" xr2:uid="{00000000-000D-0000-FFFF-FFFF00000000}"/>
  </bookViews>
  <sheets>
    <sheet name="calculations" sheetId="1" r:id="rId1"/>
    <sheet name="Image" sheetId="2" r:id="rId2"/>
  </sheets>
  <definedNames>
    <definedName name="a">calculations!$B$7</definedName>
    <definedName name="b">calculations!$B$8</definedName>
    <definedName name="dpp">calculations!$B$6</definedName>
    <definedName name="drp">calculations!$B$5</definedName>
    <definedName name="lde">calculations!$B$9</definedName>
  </definedName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1" l="1"/>
  <c r="F15" i="1"/>
  <c r="F18" i="1"/>
  <c r="F14" i="1"/>
  <c r="D18" i="1"/>
  <c r="D14" i="1"/>
  <c r="E15" i="1"/>
  <c r="E18" i="1"/>
  <c r="E17" i="1"/>
  <c r="E14" i="1"/>
  <c r="F25" i="1"/>
  <c r="F27" i="1"/>
  <c r="F65" i="1"/>
  <c r="F66" i="1"/>
  <c r="F24" i="1"/>
  <c r="F26" i="1"/>
  <c r="F68" i="1"/>
  <c r="F67" i="1"/>
  <c r="F69" i="1"/>
  <c r="F71" i="1"/>
  <c r="F28" i="1"/>
  <c r="F70" i="1"/>
  <c r="F72" i="1"/>
  <c r="F73" i="1"/>
  <c r="F53" i="1"/>
  <c r="F54" i="1"/>
  <c r="F55" i="1"/>
  <c r="F57" i="1"/>
  <c r="F56" i="1"/>
  <c r="F58" i="1"/>
  <c r="F60" i="1"/>
  <c r="F59" i="1"/>
  <c r="F61" i="1"/>
  <c r="F62" i="1"/>
  <c r="F42" i="1"/>
  <c r="F43" i="1"/>
  <c r="F44" i="1"/>
  <c r="F46" i="1"/>
  <c r="F45" i="1"/>
  <c r="F47" i="1"/>
  <c r="F49" i="1"/>
  <c r="F48" i="1"/>
  <c r="F50" i="1"/>
  <c r="F51" i="1"/>
  <c r="F33" i="1"/>
  <c r="F35" i="1"/>
  <c r="F34" i="1"/>
  <c r="F36" i="1"/>
  <c r="F38" i="1"/>
  <c r="F37" i="1"/>
  <c r="F39" i="1"/>
  <c r="F40" i="1"/>
  <c r="F20" i="1"/>
  <c r="F21" i="1"/>
  <c r="F22" i="1"/>
  <c r="F23" i="1"/>
  <c r="F12" i="1"/>
  <c r="D17" i="1"/>
  <c r="D15" i="1"/>
  <c r="D25" i="1"/>
  <c r="D27" i="1"/>
  <c r="D65" i="1"/>
  <c r="D66" i="1"/>
  <c r="D24" i="1"/>
  <c r="D26" i="1"/>
  <c r="D68" i="1"/>
  <c r="D67" i="1"/>
  <c r="D69" i="1"/>
  <c r="D71" i="1"/>
  <c r="D28" i="1"/>
  <c r="D70" i="1"/>
  <c r="D72" i="1"/>
  <c r="D73" i="1"/>
  <c r="D53" i="1"/>
  <c r="D54" i="1"/>
  <c r="D55" i="1"/>
  <c r="D57" i="1"/>
  <c r="D56" i="1"/>
  <c r="D58" i="1"/>
  <c r="D60" i="1"/>
  <c r="D59" i="1"/>
  <c r="D61" i="1"/>
  <c r="D62" i="1"/>
  <c r="D42" i="1"/>
  <c r="D43" i="1"/>
  <c r="D44" i="1"/>
  <c r="D46" i="1"/>
  <c r="D45" i="1"/>
  <c r="D47" i="1"/>
  <c r="D49" i="1"/>
  <c r="D48" i="1"/>
  <c r="D50" i="1"/>
  <c r="D51" i="1"/>
  <c r="D33" i="1"/>
  <c r="D35" i="1"/>
  <c r="D34" i="1"/>
  <c r="D36" i="1"/>
  <c r="D38" i="1"/>
  <c r="D37" i="1"/>
  <c r="D39" i="1"/>
  <c r="D40" i="1"/>
  <c r="D20" i="1"/>
  <c r="D21" i="1"/>
  <c r="D22" i="1"/>
  <c r="D23" i="1"/>
  <c r="D12" i="1"/>
  <c r="E25" i="1"/>
  <c r="E27" i="1"/>
  <c r="E65" i="1"/>
  <c r="E66" i="1"/>
  <c r="E24" i="1"/>
  <c r="E26" i="1"/>
  <c r="E68" i="1"/>
  <c r="E67" i="1"/>
  <c r="E69" i="1"/>
  <c r="E71" i="1"/>
  <c r="E28" i="1"/>
  <c r="E70" i="1"/>
  <c r="E72" i="1"/>
  <c r="E73" i="1"/>
  <c r="E53" i="1"/>
  <c r="E54" i="1"/>
  <c r="E55" i="1"/>
  <c r="E57" i="1"/>
  <c r="E56" i="1"/>
  <c r="E58" i="1"/>
  <c r="E60" i="1"/>
  <c r="E59" i="1"/>
  <c r="E61" i="1"/>
  <c r="E62" i="1"/>
  <c r="E42" i="1"/>
  <c r="E43" i="1"/>
  <c r="E44" i="1"/>
  <c r="E46" i="1"/>
  <c r="E45" i="1"/>
  <c r="E47" i="1"/>
  <c r="E49" i="1"/>
  <c r="E48" i="1"/>
  <c r="E50" i="1"/>
  <c r="E51" i="1"/>
  <c r="E33" i="1"/>
  <c r="E35" i="1"/>
  <c r="E34" i="1"/>
  <c r="E36" i="1"/>
  <c r="E38" i="1"/>
  <c r="E37" i="1"/>
  <c r="E39" i="1"/>
  <c r="E40" i="1"/>
  <c r="E20" i="1"/>
  <c r="E21" i="1"/>
  <c r="E22" i="1"/>
  <c r="E23" i="1"/>
  <c r="E12" i="1"/>
  <c r="C14" i="1"/>
  <c r="C17" i="1"/>
  <c r="B18" i="1"/>
  <c r="C18" i="1"/>
  <c r="C15" i="1"/>
  <c r="C25" i="1"/>
  <c r="C27" i="1"/>
  <c r="C33" i="1"/>
  <c r="C24" i="1"/>
  <c r="C26" i="1"/>
  <c r="C35" i="1"/>
  <c r="C34" i="1"/>
  <c r="C36" i="1"/>
  <c r="C38" i="1"/>
  <c r="C28" i="1"/>
  <c r="C37" i="1"/>
  <c r="C39" i="1"/>
  <c r="C40" i="1"/>
  <c r="C20" i="1"/>
  <c r="C42" i="1"/>
  <c r="C43" i="1"/>
  <c r="C44" i="1"/>
  <c r="C46" i="1"/>
  <c r="C45" i="1"/>
  <c r="C47" i="1"/>
  <c r="C49" i="1"/>
  <c r="C48" i="1"/>
  <c r="C50" i="1"/>
  <c r="C51" i="1"/>
  <c r="C21" i="1"/>
  <c r="C53" i="1"/>
  <c r="C54" i="1"/>
  <c r="C55" i="1"/>
  <c r="C57" i="1"/>
  <c r="C56" i="1"/>
  <c r="C58" i="1"/>
  <c r="C60" i="1"/>
  <c r="C59" i="1"/>
  <c r="C61" i="1"/>
  <c r="C62" i="1"/>
  <c r="C22" i="1"/>
  <c r="C65" i="1"/>
  <c r="C66" i="1"/>
  <c r="C68" i="1"/>
  <c r="C67" i="1"/>
  <c r="C69" i="1"/>
  <c r="C71" i="1"/>
  <c r="C70" i="1"/>
  <c r="C72" i="1"/>
  <c r="C73" i="1"/>
  <c r="C23" i="1"/>
  <c r="C12" i="1"/>
  <c r="B17" i="1"/>
  <c r="B15" i="1"/>
  <c r="B14" i="1"/>
  <c r="B25" i="1"/>
  <c r="B27" i="1"/>
  <c r="B24" i="1"/>
  <c r="B26" i="1"/>
  <c r="B33" i="1"/>
  <c r="B35" i="1"/>
  <c r="B34" i="1"/>
  <c r="B36" i="1"/>
  <c r="B38" i="1"/>
  <c r="B28" i="1"/>
  <c r="B37" i="1"/>
  <c r="B39" i="1"/>
  <c r="B40" i="1"/>
  <c r="B20" i="1"/>
  <c r="B42" i="1"/>
  <c r="B43" i="1"/>
  <c r="B44" i="1"/>
  <c r="B46" i="1"/>
  <c r="B45" i="1"/>
  <c r="B47" i="1"/>
  <c r="B49" i="1"/>
  <c r="B48" i="1"/>
  <c r="B50" i="1"/>
  <c r="B51" i="1"/>
  <c r="B21" i="1"/>
  <c r="B53" i="1"/>
  <c r="B54" i="1"/>
  <c r="B55" i="1"/>
  <c r="B57" i="1"/>
  <c r="B56" i="1"/>
  <c r="B58" i="1"/>
  <c r="B60" i="1"/>
  <c r="B59" i="1"/>
  <c r="B61" i="1"/>
  <c r="B62" i="1"/>
  <c r="B22" i="1"/>
  <c r="B65" i="1"/>
  <c r="B66" i="1"/>
  <c r="B68" i="1"/>
  <c r="B67" i="1"/>
  <c r="B69" i="1"/>
  <c r="B71" i="1"/>
  <c r="B70" i="1"/>
  <c r="B72" i="1"/>
  <c r="B73" i="1"/>
  <c r="B23" i="1"/>
  <c r="B12" i="1"/>
</calcChain>
</file>

<file path=xl/sharedStrings.xml><?xml version="1.0" encoding="utf-8"?>
<sst xmlns="http://schemas.openxmlformats.org/spreadsheetml/2006/main" count="90" uniqueCount="60">
  <si>
    <t>rectangle length, b (mm)</t>
  </si>
  <si>
    <t>rectangle width, a (mm)</t>
  </si>
  <si>
    <t>location of round pin</t>
  </si>
  <si>
    <t>location of diamond pin</t>
  </si>
  <si>
    <t>round pin and hole, drp (mm)</t>
  </si>
  <si>
    <t>diamond pin and hole, dpp (mm)</t>
  </si>
  <si>
    <t>distance between pin centers</t>
  </si>
  <si>
    <t>first corner (assumed coordinate system origin)</t>
  </si>
  <si>
    <t>Pin diametral clearances</t>
  </si>
  <si>
    <t>magnitude vector normal motion of the corner (mm)</t>
  </si>
  <si>
    <t>X shift of corner from rotation (mm)</t>
  </si>
  <si>
    <t>Y shift of corner from rotation (mm)</t>
  </si>
  <si>
    <t>Net X shift of corner (mm)</t>
  </si>
  <si>
    <t>Net Y shift of corner (mm)</t>
  </si>
  <si>
    <t>distance from round pin (mm)</t>
  </si>
  <si>
    <t>angle between pin and corner (radians)</t>
  </si>
  <si>
    <t>xc1 (mm)</t>
  </si>
  <si>
    <t>yc1 (mm)</t>
  </si>
  <si>
    <t>x shift of hole about round pin (mm)</t>
  </si>
  <si>
    <t>y shift of hole about round pin (mm)</t>
  </si>
  <si>
    <t>xd (mm)</t>
  </si>
  <si>
    <t>yd (mm)</t>
  </si>
  <si>
    <t>xr (mm)</t>
  </si>
  <si>
    <t>yr (mm)</t>
  </si>
  <si>
    <t>pin connecting line inclination (radians)</t>
  </si>
  <si>
    <t>maximum angular deviation of line (radians)</t>
  </si>
  <si>
    <t>second corner</t>
  </si>
  <si>
    <t>yc2 (mm)</t>
  </si>
  <si>
    <t>xc2 (mm)</t>
  </si>
  <si>
    <t>vector magnitude motion of corner (mm)</t>
  </si>
  <si>
    <t>third corner</t>
  </si>
  <si>
    <t>fourth corner</t>
  </si>
  <si>
    <t>Summary of corner's vector motions</t>
  </si>
  <si>
    <t>First corner</t>
  </si>
  <si>
    <t>Second corner</t>
  </si>
  <si>
    <t>Third corner</t>
  </si>
  <si>
    <t>Fourth corner</t>
  </si>
  <si>
    <t>linear distance of holes from edges, lde (mm)</t>
  </si>
  <si>
    <t>diagonal opposite corners</t>
  </si>
  <si>
    <t>opposite short edge middles</t>
  </si>
  <si>
    <t>opposite long edge middles</t>
  </si>
  <si>
    <t>along left long edge</t>
  </si>
  <si>
    <t>along bottom short edge</t>
  </si>
  <si>
    <t>b</t>
  </si>
  <si>
    <t>Pin location diagram</t>
  </si>
  <si>
    <t>pin location code</t>
  </si>
  <si>
    <t>RMS error of all corners (overall measure of pin location goodness) (mm)</t>
  </si>
  <si>
    <r>
      <t xml:space="preserve">Inputs in </t>
    </r>
    <r>
      <rPr>
        <b/>
        <sz val="12"/>
        <color theme="1"/>
        <rFont val="Calibri"/>
        <family val="2"/>
        <scheme val="minor"/>
      </rPr>
      <t>BLACK</t>
    </r>
    <r>
      <rPr>
        <sz val="12"/>
        <color theme="1"/>
        <rFont val="Calibri"/>
        <family val="2"/>
        <scheme val="minor"/>
      </rPr>
      <t xml:space="preserve">, Ouputs in </t>
    </r>
    <r>
      <rPr>
        <b/>
        <sz val="12"/>
        <color rgb="FFFF0000"/>
        <rFont val="Calibri"/>
        <family val="2"/>
        <scheme val="minor"/>
      </rPr>
      <t>RED</t>
    </r>
  </si>
  <si>
    <t>round_diamond_dowell_pin_errors.xls</t>
  </si>
  <si>
    <t>g,y,r</t>
  </si>
  <si>
    <t>r</t>
  </si>
  <si>
    <t>p</t>
  </si>
  <si>
    <t>green (g)</t>
  </si>
  <si>
    <t>blue (b)</t>
  </si>
  <si>
    <t>yellow (y)</t>
  </si>
  <si>
    <t>purple (p)</t>
  </si>
  <si>
    <t>red ®</t>
  </si>
  <si>
    <t>y</t>
  </si>
  <si>
    <t>g</t>
  </si>
  <si>
    <t>written by Alex Slocum, 2014.08.07, edited AHS 2014.08.17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</si>
</sst>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left" indent="1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indent="1"/>
    </xf>
    <xf numFmtId="164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0" fontId="1" fillId="0" borderId="1" xfId="0" applyFont="1" applyBorder="1"/>
    <xf numFmtId="0" fontId="1" fillId="3" borderId="1" xfId="0" applyFont="1" applyFill="1" applyBorder="1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164" fontId="1" fillId="2" borderId="1" xfId="0" applyNumberFormat="1" applyFont="1" applyFill="1" applyBorder="1"/>
    <xf numFmtId="164" fontId="1" fillId="0" borderId="1" xfId="0" applyNumberFormat="1" applyFont="1" applyBorder="1"/>
    <xf numFmtId="164" fontId="1" fillId="3" borderId="1" xfId="0" applyNumberFormat="1" applyFont="1" applyFill="1" applyBorder="1"/>
    <xf numFmtId="1" fontId="1" fillId="2" borderId="1" xfId="0" applyNumberFormat="1" applyFont="1" applyFill="1" applyBorder="1"/>
    <xf numFmtId="1" fontId="1" fillId="0" borderId="1" xfId="0" applyNumberFormat="1" applyFont="1" applyBorder="1"/>
    <xf numFmtId="1" fontId="1" fillId="3" borderId="1" xfId="0" applyNumberFormat="1" applyFont="1" applyFill="1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355599</xdr:colOff>
      <xdr:row>18</xdr:row>
      <xdr:rowOff>50801</xdr:rowOff>
    </xdr:from>
    <xdr:to>
      <xdr:col>18</xdr:col>
      <xdr:colOff>51730</xdr:colOff>
      <xdr:row>53</xdr:row>
      <xdr:rowOff>50801</xdr:rowOff>
    </xdr:to>
    <xdr:pic>
      <xdr:nvPicPr>
        <xdr:cNvPr id="2" name="Picture 1" descr="base plate with dowels.T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89" t="11573" r="19170" b="6232"/>
        <a:stretch/>
      </xdr:blipFill>
      <xdr:spPr>
        <a:xfrm>
          <a:off x="10248899" y="4178301"/>
          <a:ext cx="8776631" cy="7137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177800</xdr:rowOff>
    </xdr:from>
    <xdr:to>
      <xdr:col>10</xdr:col>
      <xdr:colOff>76200</xdr:colOff>
      <xdr:row>34</xdr:row>
      <xdr:rowOff>57289</xdr:rowOff>
    </xdr:to>
    <xdr:pic>
      <xdr:nvPicPr>
        <xdr:cNvPr id="2" name="Picture 1" descr="base plate with dowels.T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89" t="11573" r="19170" b="6232"/>
        <a:stretch/>
      </xdr:blipFill>
      <xdr:spPr>
        <a:xfrm>
          <a:off x="228600" y="368300"/>
          <a:ext cx="8102600" cy="6165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workbookViewId="0">
      <selection activeCell="J5" sqref="J5"/>
    </sheetView>
  </sheetViews>
  <sheetFormatPr baseColWidth="10" defaultRowHeight="16"/>
  <cols>
    <col min="1" max="1" width="64.83203125" customWidth="1"/>
  </cols>
  <sheetData>
    <row r="1" spans="1:13">
      <c r="A1" s="40" t="s">
        <v>48</v>
      </c>
      <c r="B1" s="40"/>
      <c r="C1" s="40"/>
      <c r="D1" s="40"/>
      <c r="E1" s="40"/>
      <c r="F1" s="40"/>
    </row>
    <row r="2" spans="1:13">
      <c r="A2" s="40" t="s">
        <v>59</v>
      </c>
      <c r="B2" s="40"/>
      <c r="C2" s="40"/>
      <c r="D2" s="40"/>
      <c r="E2" s="40"/>
      <c r="F2" s="40"/>
    </row>
    <row r="3" spans="1:13">
      <c r="A3" s="40" t="s">
        <v>47</v>
      </c>
      <c r="B3" s="40"/>
      <c r="C3" s="40"/>
      <c r="D3" s="40"/>
      <c r="E3" s="40"/>
      <c r="F3" s="40"/>
    </row>
    <row r="4" spans="1:13">
      <c r="A4" s="1" t="s">
        <v>8</v>
      </c>
      <c r="B4" s="1"/>
      <c r="C4" s="1"/>
      <c r="D4" s="1"/>
      <c r="E4" s="1"/>
      <c r="F4" s="1"/>
    </row>
    <row r="5" spans="1:13">
      <c r="A5" s="1" t="s">
        <v>4</v>
      </c>
      <c r="B5" s="16">
        <v>0.1</v>
      </c>
      <c r="C5" s="1"/>
      <c r="D5" s="1"/>
      <c r="E5" s="1"/>
      <c r="F5" s="1"/>
    </row>
    <row r="6" spans="1:13">
      <c r="A6" s="1" t="s">
        <v>5</v>
      </c>
      <c r="B6" s="16">
        <v>0.1</v>
      </c>
      <c r="C6" s="1"/>
      <c r="D6" s="1"/>
      <c r="E6" s="1"/>
      <c r="F6" s="1"/>
    </row>
    <row r="7" spans="1:13">
      <c r="A7" s="1" t="s">
        <v>1</v>
      </c>
      <c r="B7" s="16">
        <v>75</v>
      </c>
      <c r="C7" s="1"/>
      <c r="D7" s="1"/>
      <c r="E7" s="1"/>
      <c r="F7" s="1"/>
    </row>
    <row r="8" spans="1:13">
      <c r="A8" s="1" t="s">
        <v>0</v>
      </c>
      <c r="B8" s="16">
        <v>150</v>
      </c>
      <c r="C8" s="1"/>
      <c r="D8" s="1"/>
      <c r="E8" s="1"/>
      <c r="F8" s="1"/>
    </row>
    <row r="9" spans="1:13">
      <c r="A9" s="1" t="s">
        <v>37</v>
      </c>
      <c r="B9" s="16">
        <v>10</v>
      </c>
      <c r="C9" s="1"/>
      <c r="D9" s="1"/>
      <c r="E9" s="1"/>
      <c r="F9" s="1"/>
    </row>
    <row r="10" spans="1:13" ht="17" thickBot="1">
      <c r="A10" s="39" t="s">
        <v>45</v>
      </c>
      <c r="B10" s="17" t="s">
        <v>52</v>
      </c>
      <c r="C10" s="17" t="s">
        <v>53</v>
      </c>
      <c r="D10" s="17" t="s">
        <v>54</v>
      </c>
      <c r="E10" s="17" t="s">
        <v>55</v>
      </c>
      <c r="F10" s="17" t="s">
        <v>56</v>
      </c>
    </row>
    <row r="11" spans="1:13" ht="51">
      <c r="A11" s="39"/>
      <c r="B11" s="18" t="s">
        <v>38</v>
      </c>
      <c r="C11" s="19" t="s">
        <v>39</v>
      </c>
      <c r="D11" s="19" t="s">
        <v>41</v>
      </c>
      <c r="E11" s="20" t="s">
        <v>40</v>
      </c>
      <c r="F11" s="19" t="s">
        <v>42</v>
      </c>
      <c r="I11" s="36" t="s">
        <v>44</v>
      </c>
      <c r="J11" s="37"/>
      <c r="K11" s="37"/>
      <c r="L11" s="37"/>
      <c r="M11" s="38"/>
    </row>
    <row r="12" spans="1:13">
      <c r="A12" s="21" t="s">
        <v>46</v>
      </c>
      <c r="B12" s="22">
        <f>SQRT((B20^2+B21^2+B22^2+B23^2)/4)</f>
        <v>0.10887602185272907</v>
      </c>
      <c r="C12" s="23">
        <f>SQRT((C20^2+C21^2+C22^2+C23^2)/4)</f>
        <v>0.11150317698392566</v>
      </c>
      <c r="D12" s="23">
        <f>SQRT((D20^2+D21^2+D22^2+D23^2)/4)</f>
        <v>0.1149507190933106</v>
      </c>
      <c r="E12" s="24">
        <f>SQRT((E20^2+E21^2+E22^2+E23^2)/4)</f>
        <v>0.13338237786814933</v>
      </c>
      <c r="F12" s="23">
        <f>SQRT((F20^2+F21^2+F22^2+F23^2)/4)</f>
        <v>0.16061257389123293</v>
      </c>
      <c r="I12" s="12"/>
      <c r="J12" s="13"/>
      <c r="K12" s="13"/>
      <c r="L12" s="13"/>
      <c r="M12" s="14"/>
    </row>
    <row r="13" spans="1:13">
      <c r="A13" s="1" t="s">
        <v>2</v>
      </c>
      <c r="B13" s="18"/>
      <c r="C13" s="19"/>
      <c r="D13" s="19"/>
      <c r="E13" s="20"/>
      <c r="F13" s="19"/>
      <c r="I13" s="12"/>
      <c r="J13" s="13"/>
      <c r="K13" s="13"/>
      <c r="L13" s="13"/>
      <c r="M13" s="14"/>
    </row>
    <row r="14" spans="1:13" ht="17" thickBot="1">
      <c r="A14" s="2" t="s">
        <v>22</v>
      </c>
      <c r="B14" s="25">
        <f>-lde</f>
        <v>-10</v>
      </c>
      <c r="C14" s="26">
        <f>a/2</f>
        <v>37.5</v>
      </c>
      <c r="D14" s="26">
        <f>-lde</f>
        <v>-10</v>
      </c>
      <c r="E14" s="27">
        <f>-lde</f>
        <v>-10</v>
      </c>
      <c r="F14" s="26">
        <f>-lde</f>
        <v>-10</v>
      </c>
      <c r="I14" s="12" t="s">
        <v>57</v>
      </c>
      <c r="J14" s="10"/>
      <c r="K14" s="13" t="s">
        <v>43</v>
      </c>
      <c r="L14" s="10"/>
      <c r="M14" s="14" t="s">
        <v>58</v>
      </c>
    </row>
    <row r="15" spans="1:13">
      <c r="A15" s="21" t="s">
        <v>23</v>
      </c>
      <c r="B15" s="28">
        <f>-lde</f>
        <v>-10</v>
      </c>
      <c r="C15" s="26">
        <f>-lde</f>
        <v>-10</v>
      </c>
      <c r="D15" s="26">
        <f>-lde</f>
        <v>-10</v>
      </c>
      <c r="E15" s="27">
        <f>b/2</f>
        <v>75</v>
      </c>
      <c r="F15" s="26">
        <f>-lde</f>
        <v>-10</v>
      </c>
      <c r="I15" s="5"/>
      <c r="J15" s="3">
        <v>4</v>
      </c>
      <c r="K15" s="9"/>
      <c r="L15" s="4">
        <v>3</v>
      </c>
      <c r="M15" s="6"/>
    </row>
    <row r="16" spans="1:13">
      <c r="A16" s="1" t="s">
        <v>3</v>
      </c>
      <c r="B16" s="28"/>
      <c r="C16" s="26"/>
      <c r="D16" s="26"/>
      <c r="E16" s="27"/>
      <c r="F16" s="26"/>
      <c r="I16" s="5"/>
      <c r="J16" s="5"/>
      <c r="K16" s="10"/>
      <c r="L16" s="6"/>
      <c r="M16" s="6"/>
    </row>
    <row r="17" spans="1:13">
      <c r="A17" s="21" t="s">
        <v>20</v>
      </c>
      <c r="B17" s="28">
        <f>lde+a</f>
        <v>85</v>
      </c>
      <c r="C17" s="26">
        <f>C14</f>
        <v>37.5</v>
      </c>
      <c r="D17" s="26">
        <f>D14</f>
        <v>-10</v>
      </c>
      <c r="E17" s="27">
        <f>a+lde</f>
        <v>85</v>
      </c>
      <c r="F17" s="26">
        <f>a+lde</f>
        <v>85</v>
      </c>
      <c r="I17" s="5"/>
      <c r="J17" s="5"/>
      <c r="K17" s="10"/>
      <c r="L17" s="6"/>
      <c r="M17" s="6"/>
    </row>
    <row r="18" spans="1:13">
      <c r="A18" s="21" t="s">
        <v>21</v>
      </c>
      <c r="B18" s="28">
        <f>lde+b</f>
        <v>160</v>
      </c>
      <c r="C18" s="26">
        <f>B18</f>
        <v>160</v>
      </c>
      <c r="D18" s="26">
        <f>b+lde</f>
        <v>160</v>
      </c>
      <c r="E18" s="27">
        <f>E15</f>
        <v>75</v>
      </c>
      <c r="F18" s="26">
        <f>F15</f>
        <v>-10</v>
      </c>
      <c r="I18" s="5"/>
      <c r="J18" s="5"/>
      <c r="K18" s="10"/>
      <c r="L18" s="6"/>
      <c r="M18" s="6"/>
    </row>
    <row r="19" spans="1:13">
      <c r="A19" s="29" t="s">
        <v>32</v>
      </c>
      <c r="B19" s="28"/>
      <c r="C19" s="26"/>
      <c r="D19" s="26"/>
      <c r="E19" s="27"/>
      <c r="F19" s="26"/>
      <c r="I19" s="5"/>
      <c r="J19" s="5"/>
      <c r="K19" s="10"/>
      <c r="L19" s="6"/>
      <c r="M19" s="6"/>
    </row>
    <row r="20" spans="1:13">
      <c r="A20" s="21" t="s">
        <v>33</v>
      </c>
      <c r="B20" s="30">
        <f>B40</f>
        <v>5.7021778212430214E-2</v>
      </c>
      <c r="C20" s="31">
        <f>C40</f>
        <v>6.0078524164163226E-2</v>
      </c>
      <c r="D20" s="31">
        <f>D40</f>
        <v>5.6191097572184712E-2</v>
      </c>
      <c r="E20" s="32">
        <f>E40</f>
        <v>9.9479253533872644E-2</v>
      </c>
      <c r="F20" s="31">
        <f>F40</f>
        <v>6.1434829104888178E-2</v>
      </c>
      <c r="I20" s="5"/>
      <c r="J20" s="5"/>
      <c r="K20" s="10"/>
      <c r="L20" s="6"/>
      <c r="M20" s="6"/>
    </row>
    <row r="21" spans="1:13">
      <c r="A21" s="21" t="s">
        <v>34</v>
      </c>
      <c r="B21" s="30">
        <f>B51</f>
        <v>8.3719168313149669E-2</v>
      </c>
      <c r="C21" s="31">
        <f>C51</f>
        <v>6.0078524164163233E-2</v>
      </c>
      <c r="D21" s="31">
        <f>D51</f>
        <v>7.498558108224683E-2</v>
      </c>
      <c r="E21" s="32">
        <f>E51</f>
        <v>0.16026726293247487</v>
      </c>
      <c r="F21" s="31">
        <f>F51</f>
        <v>0.13987033964124537</v>
      </c>
      <c r="I21" s="5"/>
      <c r="J21" s="5"/>
      <c r="K21" s="10"/>
      <c r="L21" s="6"/>
      <c r="M21" s="6"/>
    </row>
    <row r="22" spans="1:13">
      <c r="A22" s="21" t="s">
        <v>35</v>
      </c>
      <c r="B22" s="30">
        <f>B62</f>
        <v>0.14302619717535769</v>
      </c>
      <c r="C22" s="31">
        <f>C62</f>
        <v>0.14579604894946005</v>
      </c>
      <c r="D22" s="31">
        <f>D62</f>
        <v>0.15254473505752869</v>
      </c>
      <c r="E22" s="32">
        <f>E62</f>
        <v>0.16026726293247487</v>
      </c>
      <c r="F22" s="31">
        <f>F62</f>
        <v>0.21867455168991817</v>
      </c>
      <c r="I22" s="12" t="s">
        <v>51</v>
      </c>
      <c r="J22" s="5"/>
      <c r="K22" s="10"/>
      <c r="L22" s="6"/>
      <c r="M22" s="14" t="s">
        <v>51</v>
      </c>
    </row>
    <row r="23" spans="1:13">
      <c r="A23" s="21" t="s">
        <v>36</v>
      </c>
      <c r="B23" s="30">
        <f>B73</f>
        <v>0.12922490907679676</v>
      </c>
      <c r="C23" s="31">
        <f>C73</f>
        <v>0.14579604894946008</v>
      </c>
      <c r="D23" s="31">
        <f>D73</f>
        <v>0.14423764512046153</v>
      </c>
      <c r="E23" s="32">
        <f>E73</f>
        <v>9.9479253533872644E-2</v>
      </c>
      <c r="F23" s="31">
        <f>F73</f>
        <v>0.17896671722020321</v>
      </c>
      <c r="I23" s="5"/>
      <c r="J23" s="5"/>
      <c r="K23" s="10"/>
      <c r="L23" s="6"/>
      <c r="M23" s="6"/>
    </row>
    <row r="24" spans="1:13">
      <c r="A24" s="1" t="s">
        <v>6</v>
      </c>
      <c r="B24" s="33">
        <f>SQRT((B14-B17)^2+(B15-B18)^2)</f>
        <v>194.74342094150447</v>
      </c>
      <c r="C24" s="34">
        <f>SQRT((C14-C17)^2+(C15-C18)^2)</f>
        <v>170</v>
      </c>
      <c r="D24" s="34">
        <f>SQRT((D14-D17)^2+(D15-D18)^2)</f>
        <v>170</v>
      </c>
      <c r="E24" s="35">
        <f>SQRT((E14-E17)^2+(E15-E18)^2)</f>
        <v>95</v>
      </c>
      <c r="F24" s="34">
        <f>SQRT((F14-F17)^2+(F15-F18)^2)</f>
        <v>95</v>
      </c>
      <c r="I24" s="5"/>
      <c r="J24" s="5"/>
      <c r="K24" s="10"/>
      <c r="L24" s="6"/>
      <c r="M24" s="6"/>
    </row>
    <row r="25" spans="1:13">
      <c r="A25" s="1" t="s">
        <v>24</v>
      </c>
      <c r="B25" s="30">
        <f>ATAN2(B17-B14,B18-B15)</f>
        <v>1.0612040619859708</v>
      </c>
      <c r="C25" s="31">
        <f>ATAN2(C17-C14,C18-C15)</f>
        <v>1.5707963267948966</v>
      </c>
      <c r="D25" s="31">
        <f>ATAN2(D17-D14,D18-D15)</f>
        <v>1.5707963267948966</v>
      </c>
      <c r="E25" s="32">
        <f>ATAN2(E17-E14,E18-E15)</f>
        <v>0</v>
      </c>
      <c r="F25" s="31">
        <f>ATAN2(F17-F14,F18-F15)</f>
        <v>0</v>
      </c>
      <c r="I25" s="5"/>
      <c r="J25" s="5"/>
      <c r="K25" s="10"/>
      <c r="L25" s="6"/>
      <c r="M25" s="6"/>
    </row>
    <row r="26" spans="1:13">
      <c r="A26" s="1" t="s">
        <v>25</v>
      </c>
      <c r="B26" s="30">
        <f>(drp/2+dpp/2)/B24</f>
        <v>5.1349616596309679E-4</v>
      </c>
      <c r="C26" s="31">
        <f>(drp/2+dpp/2)/C24</f>
        <v>5.8823529411764712E-4</v>
      </c>
      <c r="D26" s="31">
        <f>(drp/2+dpp/2)/D24</f>
        <v>5.8823529411764712E-4</v>
      </c>
      <c r="E26" s="32">
        <f>(drp/2+dpp/2)/E24</f>
        <v>1.0526315789473684E-3</v>
      </c>
      <c r="F26" s="31">
        <f>(drp/2+dpp/2)/F24</f>
        <v>1.0526315789473684E-3</v>
      </c>
      <c r="I26" s="5"/>
      <c r="J26" s="5"/>
      <c r="K26" s="10"/>
      <c r="L26" s="6"/>
      <c r="M26" s="6"/>
    </row>
    <row r="27" spans="1:13">
      <c r="A27" s="1" t="s">
        <v>18</v>
      </c>
      <c r="B27" s="30">
        <f>-(drp/2)*SIN(B25)</f>
        <v>-4.364717410686323E-2</v>
      </c>
      <c r="C27" s="31">
        <f>-(drp/2)*SIN(C25)</f>
        <v>-0.05</v>
      </c>
      <c r="D27" s="31">
        <f>-(drp/2)*SIN(D25)</f>
        <v>-0.05</v>
      </c>
      <c r="E27" s="32">
        <f>-(drp/2)*SIN(E25)</f>
        <v>0</v>
      </c>
      <c r="F27" s="31">
        <f>-(drp/2)*SIN(F25)</f>
        <v>0</v>
      </c>
      <c r="I27" s="5"/>
      <c r="J27" s="5"/>
      <c r="K27" s="10"/>
      <c r="L27" s="6"/>
      <c r="M27" s="6"/>
    </row>
    <row r="28" spans="1:13">
      <c r="A28" s="1" t="s">
        <v>19</v>
      </c>
      <c r="B28" s="30">
        <f>(drp/2)*COS(B25)</f>
        <v>2.4391067883247099E-2</v>
      </c>
      <c r="C28" s="31">
        <f>(drp/2)*COS(C25)</f>
        <v>3.06287113727155E-18</v>
      </c>
      <c r="D28" s="31">
        <f>(drp/2)*COS(D25)</f>
        <v>3.06287113727155E-18</v>
      </c>
      <c r="E28" s="32">
        <f>(drp/2)*COS(E25)</f>
        <v>0.05</v>
      </c>
      <c r="F28" s="31">
        <f>(drp/2)*COS(F25)</f>
        <v>0.05</v>
      </c>
      <c r="I28" s="5"/>
      <c r="J28" s="5"/>
      <c r="K28" s="10"/>
      <c r="L28" s="6"/>
      <c r="M28" s="6"/>
    </row>
    <row r="29" spans="1:13" ht="17" thickBot="1">
      <c r="A29" s="1"/>
      <c r="B29" s="28"/>
      <c r="C29" s="26"/>
      <c r="D29" s="26"/>
      <c r="E29" s="27"/>
      <c r="F29" s="26"/>
      <c r="I29" s="5"/>
      <c r="J29" s="7">
        <v>1</v>
      </c>
      <c r="K29" s="11"/>
      <c r="L29" s="8">
        <v>2</v>
      </c>
      <c r="M29" s="6"/>
    </row>
    <row r="30" spans="1:13">
      <c r="A30" s="1" t="s">
        <v>7</v>
      </c>
      <c r="B30" s="28"/>
      <c r="C30" s="26"/>
      <c r="D30" s="26"/>
      <c r="E30" s="27"/>
      <c r="F30" s="26"/>
      <c r="I30" s="12" t="s">
        <v>49</v>
      </c>
      <c r="J30" s="10"/>
      <c r="K30" s="13" t="s">
        <v>43</v>
      </c>
      <c r="L30" s="10"/>
      <c r="M30" s="14" t="s">
        <v>50</v>
      </c>
    </row>
    <row r="31" spans="1:13">
      <c r="A31" s="21" t="s">
        <v>16</v>
      </c>
      <c r="B31" s="28">
        <v>0</v>
      </c>
      <c r="C31" s="26">
        <v>0</v>
      </c>
      <c r="D31" s="26">
        <v>0</v>
      </c>
      <c r="E31" s="27">
        <v>0</v>
      </c>
      <c r="F31" s="26">
        <v>0</v>
      </c>
      <c r="I31" s="5"/>
      <c r="J31" s="10"/>
      <c r="K31" s="10"/>
      <c r="L31" s="10"/>
      <c r="M31" s="6"/>
    </row>
    <row r="32" spans="1:13" ht="17" thickBot="1">
      <c r="A32" s="21" t="s">
        <v>17</v>
      </c>
      <c r="B32" s="28">
        <v>0</v>
      </c>
      <c r="C32" s="26">
        <v>0</v>
      </c>
      <c r="D32" s="26">
        <v>0</v>
      </c>
      <c r="E32" s="27">
        <v>0</v>
      </c>
      <c r="F32" s="26">
        <v>0</v>
      </c>
      <c r="I32" s="15"/>
      <c r="J32" s="11"/>
      <c r="K32" s="11"/>
      <c r="L32" s="11"/>
      <c r="M32" s="8"/>
    </row>
    <row r="33" spans="1:6">
      <c r="A33" s="21" t="s">
        <v>14</v>
      </c>
      <c r="B33" s="30">
        <f>SQRT((B31-B$14)^2+(B32-B$15)^2)</f>
        <v>14.142135623730951</v>
      </c>
      <c r="C33" s="31">
        <f>SQRT((C31-C$14)^2+(C32-C$15)^2)</f>
        <v>38.810436740650061</v>
      </c>
      <c r="D33" s="31">
        <f>SQRT((D31-D$14)^2+(D32-D$15)^2)</f>
        <v>14.142135623730951</v>
      </c>
      <c r="E33" s="32">
        <f>SQRT((E31-E$14)^2+(E32-E$15)^2)</f>
        <v>75.663729752107784</v>
      </c>
      <c r="F33" s="31">
        <f>SQRT((F31-F$14)^2+(F32-F$15)^2)</f>
        <v>14.142135623730951</v>
      </c>
    </row>
    <row r="34" spans="1:6">
      <c r="A34" s="21" t="s">
        <v>15</v>
      </c>
      <c r="B34" s="30">
        <f>ATAN2(B31-B$14,B32-B$15)</f>
        <v>0.78539816339744828</v>
      </c>
      <c r="C34" s="31">
        <f>ATAN2(C31-C$14,C32-C$15)</f>
        <v>2.8809902618424523</v>
      </c>
      <c r="D34" s="31">
        <f>ATAN2(D31-D$14,D32-D$15)</f>
        <v>0.78539816339744828</v>
      </c>
      <c r="E34" s="32">
        <f>ATAN2(E31-E$14,E32-E$15)</f>
        <v>-1.4382447944982226</v>
      </c>
      <c r="F34" s="31">
        <f>ATAN2(F31-F$14,F32-F$15)</f>
        <v>0.78539816339744828</v>
      </c>
    </row>
    <row r="35" spans="1:6">
      <c r="A35" s="21" t="s">
        <v>9</v>
      </c>
      <c r="B35" s="30">
        <f>B33*B$26</f>
        <v>7.2619324213159713E-3</v>
      </c>
      <c r="C35" s="31">
        <f>C33*C$26</f>
        <v>2.2829668670970627E-2</v>
      </c>
      <c r="D35" s="31">
        <f>D33*D$26</f>
        <v>8.3189033080770317E-3</v>
      </c>
      <c r="E35" s="32">
        <f>E33*E$26</f>
        <v>7.9646031318008195E-2</v>
      </c>
      <c r="F35" s="31">
        <f>F33*F$26</f>
        <v>1.4886458551295738E-2</v>
      </c>
    </row>
    <row r="36" spans="1:6">
      <c r="A36" s="21" t="s">
        <v>10</v>
      </c>
      <c r="B36" s="30">
        <f>-B35*SIN(B34)</f>
        <v>-5.1349616596309674E-3</v>
      </c>
      <c r="C36" s="31">
        <f>-C35*SIN(C34)</f>
        <v>-5.8823529411764696E-3</v>
      </c>
      <c r="D36" s="31">
        <f>-D35*SIN(D34)</f>
        <v>-5.8823529411764714E-3</v>
      </c>
      <c r="E36" s="32">
        <f>-E35*SIN(E34)</f>
        <v>7.8947368421052641E-2</v>
      </c>
      <c r="F36" s="31">
        <f>-F35*SIN(F34)</f>
        <v>-1.0526315789473684E-2</v>
      </c>
    </row>
    <row r="37" spans="1:6">
      <c r="A37" s="21" t="s">
        <v>11</v>
      </c>
      <c r="B37" s="30">
        <f>B35*COS(B34)</f>
        <v>5.1349616596309683E-3</v>
      </c>
      <c r="C37" s="31">
        <f>C35*COS(C34)</f>
        <v>-2.205882352941177E-2</v>
      </c>
      <c r="D37" s="31">
        <f>D35*COS(D34)</f>
        <v>5.8823529411764722E-3</v>
      </c>
      <c r="E37" s="32">
        <f>E35*COS(E34)</f>
        <v>1.0526315789473682E-2</v>
      </c>
      <c r="F37" s="31">
        <f>F35*COS(F34)</f>
        <v>1.0526315789473686E-2</v>
      </c>
    </row>
    <row r="38" spans="1:6">
      <c r="A38" s="21" t="s">
        <v>12</v>
      </c>
      <c r="B38" s="30">
        <f>B$27+B36</f>
        <v>-4.8782135766494199E-2</v>
      </c>
      <c r="C38" s="31">
        <f>C$27+C36</f>
        <v>-5.5882352941176473E-2</v>
      </c>
      <c r="D38" s="31">
        <f>D$27+D36</f>
        <v>-5.5882352941176473E-2</v>
      </c>
      <c r="E38" s="32">
        <f>E$27+E36</f>
        <v>7.8947368421052641E-2</v>
      </c>
      <c r="F38" s="31">
        <f>F$27+F36</f>
        <v>-1.0526315789473684E-2</v>
      </c>
    </row>
    <row r="39" spans="1:6">
      <c r="A39" s="21" t="s">
        <v>13</v>
      </c>
      <c r="B39" s="30">
        <f>B$28+B37</f>
        <v>2.9526029542878068E-2</v>
      </c>
      <c r="C39" s="31">
        <f>C$28+C37</f>
        <v>-2.2058823529411766E-2</v>
      </c>
      <c r="D39" s="31">
        <f>D$28+D37</f>
        <v>5.8823529411764757E-3</v>
      </c>
      <c r="E39" s="32">
        <f>E$28+E37</f>
        <v>6.0526315789473685E-2</v>
      </c>
      <c r="F39" s="31">
        <f>F$28+F37</f>
        <v>6.0526315789473692E-2</v>
      </c>
    </row>
    <row r="40" spans="1:6">
      <c r="A40" s="21" t="s">
        <v>29</v>
      </c>
      <c r="B40" s="30">
        <f>SQRT(B38^2+B39^2)</f>
        <v>5.7021778212430214E-2</v>
      </c>
      <c r="C40" s="31">
        <f>SQRT(C38^2+C39^2)</f>
        <v>6.0078524164163226E-2</v>
      </c>
      <c r="D40" s="31">
        <f>SQRT(D38^2+D39^2)</f>
        <v>5.6191097572184712E-2</v>
      </c>
      <c r="E40" s="32">
        <f>SQRT(E38^2+E39^2)</f>
        <v>9.9479253533872644E-2</v>
      </c>
      <c r="F40" s="31">
        <f>SQRT(F38^2+F39^2)</f>
        <v>6.1434829104888178E-2</v>
      </c>
    </row>
    <row r="41" spans="1:6">
      <c r="A41" s="1" t="s">
        <v>26</v>
      </c>
      <c r="B41" s="28"/>
      <c r="C41" s="26"/>
      <c r="D41" s="26"/>
      <c r="E41" s="27"/>
      <c r="F41" s="26"/>
    </row>
    <row r="42" spans="1:6">
      <c r="A42" s="21" t="s">
        <v>28</v>
      </c>
      <c r="B42" s="28">
        <f>a</f>
        <v>75</v>
      </c>
      <c r="C42" s="26">
        <f>a</f>
        <v>75</v>
      </c>
      <c r="D42" s="26">
        <f>a</f>
        <v>75</v>
      </c>
      <c r="E42" s="27">
        <f>a</f>
        <v>75</v>
      </c>
      <c r="F42" s="26">
        <f>a</f>
        <v>75</v>
      </c>
    </row>
    <row r="43" spans="1:6">
      <c r="A43" s="21" t="s">
        <v>27</v>
      </c>
      <c r="B43" s="28">
        <f>0</f>
        <v>0</v>
      </c>
      <c r="C43" s="26">
        <f>0</f>
        <v>0</v>
      </c>
      <c r="D43" s="26">
        <f>0</f>
        <v>0</v>
      </c>
      <c r="E43" s="27">
        <f>0</f>
        <v>0</v>
      </c>
      <c r="F43" s="26">
        <f>0</f>
        <v>0</v>
      </c>
    </row>
    <row r="44" spans="1:6">
      <c r="A44" s="21" t="s">
        <v>14</v>
      </c>
      <c r="B44" s="30">
        <f>SQRT((B42-B$14)^2+(B43-B$15)^2)</f>
        <v>85.586213843118443</v>
      </c>
      <c r="C44" s="31">
        <f>SQRT((C42-C$14)^2+(C43-C$15)^2)</f>
        <v>38.810436740650061</v>
      </c>
      <c r="D44" s="31">
        <f>SQRT((D42-D$14)^2+(D43-D$15)^2)</f>
        <v>85.586213843118443</v>
      </c>
      <c r="E44" s="32">
        <f>SQRT((E42-E$14)^2+(E43-E$15)^2)</f>
        <v>113.35784048754634</v>
      </c>
      <c r="F44" s="31">
        <f>SQRT((F42-F$14)^2+(F43-F$15)^2)</f>
        <v>85.586213843118443</v>
      </c>
    </row>
    <row r="45" spans="1:6">
      <c r="A45" s="21" t="s">
        <v>15</v>
      </c>
      <c r="B45" s="30">
        <f>ATAN2(B42-B$14,B43-B$15)</f>
        <v>0.11710874456686428</v>
      </c>
      <c r="C45" s="31">
        <f>ATAN2(C42-C$14,C43-C$15)</f>
        <v>0.26060239174734096</v>
      </c>
      <c r="D45" s="31">
        <f>ATAN2(D42-D$14,D43-D$15)</f>
        <v>0.11710874456686428</v>
      </c>
      <c r="E45" s="32">
        <f>ATAN2(E42-E$14,E43-E$15)</f>
        <v>-0.722979353401491</v>
      </c>
      <c r="F45" s="31">
        <f>ATAN2(F42-F$14,F43-F$15)</f>
        <v>0.11710874456686428</v>
      </c>
    </row>
    <row r="46" spans="1:6">
      <c r="A46" s="21" t="s">
        <v>9</v>
      </c>
      <c r="B46" s="30">
        <f>B44*B$26</f>
        <v>4.3948192667739042E-2</v>
      </c>
      <c r="C46" s="31">
        <f>C44*C$26</f>
        <v>2.2829668670970627E-2</v>
      </c>
      <c r="D46" s="31">
        <f>D44*D$26</f>
        <v>5.0344831672422617E-2</v>
      </c>
      <c r="E46" s="32">
        <f>E44*E$26</f>
        <v>0.11932404261846984</v>
      </c>
      <c r="F46" s="31">
        <f>F44*F$26</f>
        <v>9.0090751413808887E-2</v>
      </c>
    </row>
    <row r="47" spans="1:6">
      <c r="A47" s="21" t="s">
        <v>10</v>
      </c>
      <c r="B47" s="30">
        <f>-B46*SIN(B45)</f>
        <v>-5.1349616596309674E-3</v>
      </c>
      <c r="C47" s="31">
        <f>-C46*SIN(C45)</f>
        <v>-5.8823529411764714E-3</v>
      </c>
      <c r="D47" s="31">
        <f>-D46*SIN(D45)</f>
        <v>-5.8823529411764705E-3</v>
      </c>
      <c r="E47" s="32">
        <f>-E46*SIN(E45)</f>
        <v>7.8947368421052641E-2</v>
      </c>
      <c r="F47" s="31">
        <f>-F46*SIN(F45)</f>
        <v>-1.0526315789473682E-2</v>
      </c>
    </row>
    <row r="48" spans="1:6">
      <c r="A48" s="21" t="s">
        <v>11</v>
      </c>
      <c r="B48" s="30">
        <f>B46*COS(B45)</f>
        <v>4.3647174106863224E-2</v>
      </c>
      <c r="C48" s="31">
        <f>C46*COS(C45)</f>
        <v>2.205882352941177E-2</v>
      </c>
      <c r="D48" s="31">
        <f>D46*COS(D45)</f>
        <v>4.9999999999999996E-2</v>
      </c>
      <c r="E48" s="32">
        <f>E46*COS(E45)</f>
        <v>8.9473684210526316E-2</v>
      </c>
      <c r="F48" s="31">
        <f>F46*COS(F45)</f>
        <v>8.9473684210526302E-2</v>
      </c>
    </row>
    <row r="49" spans="1:6">
      <c r="A49" s="21" t="s">
        <v>12</v>
      </c>
      <c r="B49" s="30">
        <f>B$27+B47</f>
        <v>-4.8782135766494199E-2</v>
      </c>
      <c r="C49" s="31">
        <f>C$27+C47</f>
        <v>-5.5882352941176473E-2</v>
      </c>
      <c r="D49" s="31">
        <f>D$27+D47</f>
        <v>-5.5882352941176473E-2</v>
      </c>
      <c r="E49" s="32">
        <f>E$27+E47</f>
        <v>7.8947368421052641E-2</v>
      </c>
      <c r="F49" s="31">
        <f>F$27+F47</f>
        <v>-1.0526315789473682E-2</v>
      </c>
    </row>
    <row r="50" spans="1:6">
      <c r="A50" s="21" t="s">
        <v>13</v>
      </c>
      <c r="B50" s="30">
        <f>B$28+B48</f>
        <v>6.8038241990110326E-2</v>
      </c>
      <c r="C50" s="31">
        <f>C$28+C48</f>
        <v>2.2058823529411773E-2</v>
      </c>
      <c r="D50" s="31">
        <f>D$28+D48</f>
        <v>4.9999999999999996E-2</v>
      </c>
      <c r="E50" s="32">
        <f>E$28+E48</f>
        <v>0.13947368421052631</v>
      </c>
      <c r="F50" s="31">
        <f>F$28+F48</f>
        <v>0.13947368421052631</v>
      </c>
    </row>
    <row r="51" spans="1:6">
      <c r="A51" s="21" t="s">
        <v>29</v>
      </c>
      <c r="B51" s="30">
        <f>SQRT(B49^2+B50^2)</f>
        <v>8.3719168313149669E-2</v>
      </c>
      <c r="C51" s="31">
        <f>SQRT(C49^2+C50^2)</f>
        <v>6.0078524164163233E-2</v>
      </c>
      <c r="D51" s="31">
        <f>SQRT(D49^2+D50^2)</f>
        <v>7.498558108224683E-2</v>
      </c>
      <c r="E51" s="32">
        <f>SQRT(E49^2+E50^2)</f>
        <v>0.16026726293247487</v>
      </c>
      <c r="F51" s="31">
        <f>SQRT(F49^2+F50^2)</f>
        <v>0.13987033964124537</v>
      </c>
    </row>
    <row r="52" spans="1:6">
      <c r="A52" s="1" t="s">
        <v>30</v>
      </c>
      <c r="B52" s="28"/>
      <c r="C52" s="26"/>
      <c r="D52" s="26"/>
      <c r="E52" s="27"/>
      <c r="F52" s="26"/>
    </row>
    <row r="53" spans="1:6">
      <c r="A53" s="21" t="s">
        <v>28</v>
      </c>
      <c r="B53" s="28">
        <f>a</f>
        <v>75</v>
      </c>
      <c r="C53" s="26">
        <f>a</f>
        <v>75</v>
      </c>
      <c r="D53" s="26">
        <f>a</f>
        <v>75</v>
      </c>
      <c r="E53" s="27">
        <f>a</f>
        <v>75</v>
      </c>
      <c r="F53" s="26">
        <f>a</f>
        <v>75</v>
      </c>
    </row>
    <row r="54" spans="1:6">
      <c r="A54" s="21" t="s">
        <v>27</v>
      </c>
      <c r="B54" s="28">
        <f>b</f>
        <v>150</v>
      </c>
      <c r="C54" s="26">
        <f>b</f>
        <v>150</v>
      </c>
      <c r="D54" s="26">
        <f>b</f>
        <v>150</v>
      </c>
      <c r="E54" s="27">
        <f>b</f>
        <v>150</v>
      </c>
      <c r="F54" s="26">
        <f>b</f>
        <v>150</v>
      </c>
    </row>
    <row r="55" spans="1:6">
      <c r="A55" s="21" t="s">
        <v>14</v>
      </c>
      <c r="B55" s="30">
        <f>SQRT((B53-B$14)^2+(B54-B$15)^2)</f>
        <v>181.17670931993439</v>
      </c>
      <c r="C55" s="31">
        <f>SQRT((C53-C$14)^2+(C54-C$15)^2)</f>
        <v>164.33578429544795</v>
      </c>
      <c r="D55" s="31">
        <f>SQRT((D53-D$14)^2+(D54-D$15)^2)</f>
        <v>181.17670931993439</v>
      </c>
      <c r="E55" s="32">
        <f>SQRT((E53-E$14)^2+(E54-E$15)^2)</f>
        <v>113.35784048754634</v>
      </c>
      <c r="F55" s="31">
        <f>SQRT((F53-F$14)^2+(F54-F$15)^2)</f>
        <v>181.17670931993439</v>
      </c>
    </row>
    <row r="56" spans="1:6">
      <c r="A56" s="21" t="s">
        <v>15</v>
      </c>
      <c r="B56" s="30">
        <f>ATAN2(B53-B$14,B54-B$15)</f>
        <v>1.082462375738491</v>
      </c>
      <c r="C56" s="31">
        <f>ATAN2(C53-C$14,C54-C$15)</f>
        <v>1.3405767395180528</v>
      </c>
      <c r="D56" s="31">
        <f>ATAN2(D53-D$14,D54-D$15)</f>
        <v>1.082462375738491</v>
      </c>
      <c r="E56" s="32">
        <f>ATAN2(E53-E$14,E54-E$15)</f>
        <v>0.722979353401491</v>
      </c>
      <c r="F56" s="31">
        <f>ATAN2(F53-F$14,F54-F$15)</f>
        <v>1.082462375738491</v>
      </c>
    </row>
    <row r="57" spans="1:6">
      <c r="A57" s="21" t="s">
        <v>9</v>
      </c>
      <c r="B57" s="30">
        <f>B55*B$26</f>
        <v>9.3033545597596773E-2</v>
      </c>
      <c r="C57" s="31">
        <f>C55*C$26</f>
        <v>9.6668108409087045E-2</v>
      </c>
      <c r="D57" s="31">
        <f>D55*D$26</f>
        <v>0.10657453489407906</v>
      </c>
      <c r="E57" s="32">
        <f>E55*E$26</f>
        <v>0.11932404261846984</v>
      </c>
      <c r="F57" s="31">
        <f>F55*F$26</f>
        <v>0.19071232559993093</v>
      </c>
    </row>
    <row r="58" spans="1:6">
      <c r="A58" s="21" t="s">
        <v>10</v>
      </c>
      <c r="B58" s="30">
        <f>-B57*SIN(B56)</f>
        <v>-8.2159386554095479E-2</v>
      </c>
      <c r="C58" s="31">
        <f>-C57*SIN(C56)</f>
        <v>-9.4117647058823528E-2</v>
      </c>
      <c r="D58" s="31">
        <f>-D57*SIN(D56)</f>
        <v>-9.4117647058823528E-2</v>
      </c>
      <c r="E58" s="32">
        <f>-E57*SIN(E56)</f>
        <v>-7.8947368421052641E-2</v>
      </c>
      <c r="F58" s="31">
        <f>-F57*SIN(F56)</f>
        <v>-0.16842105263157894</v>
      </c>
    </row>
    <row r="59" spans="1:6">
      <c r="A59" s="21" t="s">
        <v>11</v>
      </c>
      <c r="B59" s="30">
        <f>B57*COS(B56)</f>
        <v>4.364717410686323E-2</v>
      </c>
      <c r="C59" s="31">
        <f>C57*COS(C56)</f>
        <v>2.2058823529411777E-2</v>
      </c>
      <c r="D59" s="31">
        <f>D57*COS(D56)</f>
        <v>5.000000000000001E-2</v>
      </c>
      <c r="E59" s="32">
        <f>E57*COS(E56)</f>
        <v>8.9473684210526316E-2</v>
      </c>
      <c r="F59" s="31">
        <f>F57*COS(F56)</f>
        <v>8.9473684210526316E-2</v>
      </c>
    </row>
    <row r="60" spans="1:6">
      <c r="A60" s="21" t="s">
        <v>12</v>
      </c>
      <c r="B60" s="30">
        <f>B$27+B58</f>
        <v>-0.12580656066095872</v>
      </c>
      <c r="C60" s="31">
        <f>C$27+C58</f>
        <v>-0.14411764705882352</v>
      </c>
      <c r="D60" s="31">
        <f>D$27+D58</f>
        <v>-0.14411764705882352</v>
      </c>
      <c r="E60" s="32">
        <f>E$27+E58</f>
        <v>-7.8947368421052641E-2</v>
      </c>
      <c r="F60" s="31">
        <f>F$27+F58</f>
        <v>-0.16842105263157894</v>
      </c>
    </row>
    <row r="61" spans="1:6">
      <c r="A61" s="21" t="s">
        <v>13</v>
      </c>
      <c r="B61" s="30">
        <f>B$28+B59</f>
        <v>6.8038241990110326E-2</v>
      </c>
      <c r="C61" s="31">
        <f>C$28+C59</f>
        <v>2.205882352941178E-2</v>
      </c>
      <c r="D61" s="31">
        <f>D$28+D59</f>
        <v>5.000000000000001E-2</v>
      </c>
      <c r="E61" s="32">
        <f>E$28+E59</f>
        <v>0.13947368421052631</v>
      </c>
      <c r="F61" s="31">
        <f>F$28+F59</f>
        <v>0.13947368421052631</v>
      </c>
    </row>
    <row r="62" spans="1:6">
      <c r="A62" s="21" t="s">
        <v>29</v>
      </c>
      <c r="B62" s="30">
        <f>SQRT(B60^2+B61^2)</f>
        <v>0.14302619717535769</v>
      </c>
      <c r="C62" s="31">
        <f>SQRT(C60^2+C61^2)</f>
        <v>0.14579604894946005</v>
      </c>
      <c r="D62" s="31">
        <f>SQRT(D60^2+D61^2)</f>
        <v>0.15254473505752869</v>
      </c>
      <c r="E62" s="32">
        <f>SQRT(E60^2+E61^2)</f>
        <v>0.16026726293247487</v>
      </c>
      <c r="F62" s="31">
        <f>SQRT(F60^2+F61^2)</f>
        <v>0.21867455168991817</v>
      </c>
    </row>
    <row r="63" spans="1:6">
      <c r="A63" s="1" t="s">
        <v>31</v>
      </c>
      <c r="B63" s="28"/>
      <c r="C63" s="26"/>
      <c r="D63" s="26"/>
      <c r="E63" s="27"/>
      <c r="F63" s="26"/>
    </row>
    <row r="64" spans="1:6">
      <c r="A64" s="21" t="s">
        <v>28</v>
      </c>
      <c r="B64" s="28">
        <v>0</v>
      </c>
      <c r="C64" s="26">
        <v>0</v>
      </c>
      <c r="D64" s="26">
        <v>0</v>
      </c>
      <c r="E64" s="27">
        <v>0</v>
      </c>
      <c r="F64" s="26">
        <v>0</v>
      </c>
    </row>
    <row r="65" spans="1:6">
      <c r="A65" s="21" t="s">
        <v>27</v>
      </c>
      <c r="B65" s="28">
        <f>b</f>
        <v>150</v>
      </c>
      <c r="C65" s="26">
        <f>b</f>
        <v>150</v>
      </c>
      <c r="D65" s="26">
        <f>b</f>
        <v>150</v>
      </c>
      <c r="E65" s="27">
        <f>b</f>
        <v>150</v>
      </c>
      <c r="F65" s="26">
        <f>b</f>
        <v>150</v>
      </c>
    </row>
    <row r="66" spans="1:6">
      <c r="A66" s="21" t="s">
        <v>14</v>
      </c>
      <c r="B66" s="30">
        <f>SQRT((B64-B$14)^2+(B65-B$15)^2)</f>
        <v>160.31219541881399</v>
      </c>
      <c r="C66" s="31">
        <f>SQRT((C64-C$14)^2+(C65-C$15)^2)</f>
        <v>164.33578429544795</v>
      </c>
      <c r="D66" s="31">
        <f>SQRT((D64-D$14)^2+(D65-D$15)^2)</f>
        <v>160.31219541881399</v>
      </c>
      <c r="E66" s="32">
        <f>SQRT((E64-E$14)^2+(E65-E$15)^2)</f>
        <v>75.663729752107784</v>
      </c>
      <c r="F66" s="31">
        <f>SQRT((F64-F$14)^2+(F65-F$15)^2)</f>
        <v>160.31219541881399</v>
      </c>
    </row>
    <row r="67" spans="1:6">
      <c r="A67" s="21" t="s">
        <v>15</v>
      </c>
      <c r="B67" s="30">
        <f>ATAN2(B64-B$14,B65-B$15)</f>
        <v>1.5083775167989393</v>
      </c>
      <c r="C67" s="31">
        <f>ATAN2(C64-C$14,C65-C$15)</f>
        <v>1.8010159140717403</v>
      </c>
      <c r="D67" s="31">
        <f>ATAN2(D64-D$14,D65-D$15)</f>
        <v>1.5083775167989393</v>
      </c>
      <c r="E67" s="32">
        <f>ATAN2(E64-E$14,E65-E$15)</f>
        <v>1.4382447944982226</v>
      </c>
      <c r="F67" s="31">
        <f>ATAN2(F64-F$14,F65-F$15)</f>
        <v>1.5083775167989393</v>
      </c>
    </row>
    <row r="68" spans="1:6">
      <c r="A68" s="21" t="s">
        <v>9</v>
      </c>
      <c r="B68" s="30">
        <f>B66*B$26</f>
        <v>8.2319697704687708E-2</v>
      </c>
      <c r="C68" s="31">
        <f>C66*C$26</f>
        <v>9.6668108409087045E-2</v>
      </c>
      <c r="D68" s="31">
        <f>D66*D$26</f>
        <v>9.4301291422831765E-2</v>
      </c>
      <c r="E68" s="32">
        <f>E66*E$26</f>
        <v>7.9646031318008195E-2</v>
      </c>
      <c r="F68" s="31">
        <f>F66*F$26</f>
        <v>0.16874967938822524</v>
      </c>
    </row>
    <row r="69" spans="1:6">
      <c r="A69" s="21" t="s">
        <v>10</v>
      </c>
      <c r="B69" s="30">
        <f>-B68*SIN(B67)</f>
        <v>-8.2159386554095493E-2</v>
      </c>
      <c r="C69" s="31">
        <f>-C68*SIN(C67)</f>
        <v>-9.4117647058823542E-2</v>
      </c>
      <c r="D69" s="31">
        <f>-D68*SIN(D67)</f>
        <v>-9.4117647058823542E-2</v>
      </c>
      <c r="E69" s="32">
        <f>-E68*SIN(E67)</f>
        <v>-7.8947368421052641E-2</v>
      </c>
      <c r="F69" s="31">
        <f>-F68*SIN(F67)</f>
        <v>-0.16842105263157894</v>
      </c>
    </row>
    <row r="70" spans="1:6">
      <c r="A70" s="21" t="s">
        <v>11</v>
      </c>
      <c r="B70" s="30">
        <f>B68*COS(B67)</f>
        <v>5.1349616596309674E-3</v>
      </c>
      <c r="C70" s="31">
        <f>C68*COS(C67)</f>
        <v>-2.2058823529411766E-2</v>
      </c>
      <c r="D70" s="31">
        <f>D68*COS(D67)</f>
        <v>5.8823529411764705E-3</v>
      </c>
      <c r="E70" s="32">
        <f>E68*COS(E67)</f>
        <v>1.0526315789473682E-2</v>
      </c>
      <c r="F70" s="31">
        <f>F68*COS(F67)</f>
        <v>1.0526315789473684E-2</v>
      </c>
    </row>
    <row r="71" spans="1:6">
      <c r="A71" s="21" t="s">
        <v>12</v>
      </c>
      <c r="B71" s="30">
        <f>B$27+B69</f>
        <v>-0.12580656066095872</v>
      </c>
      <c r="C71" s="31">
        <f>C$27+C69</f>
        <v>-0.14411764705882354</v>
      </c>
      <c r="D71" s="31">
        <f>D$27+D69</f>
        <v>-0.14411764705882354</v>
      </c>
      <c r="E71" s="32">
        <f>E$27+E69</f>
        <v>-7.8947368421052641E-2</v>
      </c>
      <c r="F71" s="31">
        <f>F$27+F69</f>
        <v>-0.16842105263157894</v>
      </c>
    </row>
    <row r="72" spans="1:6">
      <c r="A72" s="21" t="s">
        <v>13</v>
      </c>
      <c r="B72" s="30">
        <f>B$28+B70</f>
        <v>2.9526029542878068E-2</v>
      </c>
      <c r="C72" s="31">
        <f>C$28+C70</f>
        <v>-2.2058823529411763E-2</v>
      </c>
      <c r="D72" s="31">
        <f>D$28+D70</f>
        <v>5.882352941176474E-3</v>
      </c>
      <c r="E72" s="32">
        <f>E$28+E70</f>
        <v>6.0526315789473685E-2</v>
      </c>
      <c r="F72" s="31">
        <f>F$28+F70</f>
        <v>6.0526315789473685E-2</v>
      </c>
    </row>
    <row r="73" spans="1:6">
      <c r="A73" s="21" t="s">
        <v>29</v>
      </c>
      <c r="B73" s="30">
        <f>SQRT(B71^2+B72^2)</f>
        <v>0.12922490907679676</v>
      </c>
      <c r="C73" s="31">
        <f>SQRT(C71^2+C72^2)</f>
        <v>0.14579604894946008</v>
      </c>
      <c r="D73" s="31">
        <f>SQRT(D71^2+D72^2)</f>
        <v>0.14423764512046153</v>
      </c>
      <c r="E73" s="32">
        <f>SQRT(E71^2+E72^2)</f>
        <v>9.9479253533872644E-2</v>
      </c>
      <c r="F73" s="31">
        <f>SQRT(F71^2+F72^2)</f>
        <v>0.17896671722020321</v>
      </c>
    </row>
  </sheetData>
  <mergeCells count="5">
    <mergeCell ref="I11:M11"/>
    <mergeCell ref="A10:A11"/>
    <mergeCell ref="A1:F1"/>
    <mergeCell ref="A2:F2"/>
    <mergeCell ref="A3:F3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31" sqref="M31:N31"/>
    </sheetView>
  </sheetViews>
  <sheetFormatPr baseColWidth="10" defaultRowHeight="16"/>
  <sheetData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calculations</vt:lpstr>
      <vt:lpstr>Image</vt:lpstr>
      <vt:lpstr>a</vt:lpstr>
      <vt:lpstr>b</vt:lpstr>
      <vt:lpstr>dpp</vt:lpstr>
      <vt:lpstr>drp</vt:lpstr>
      <vt:lpstr>lde</vt:lpstr>
    </vt:vector>
  </TitlesOfParts>
  <Company>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Slocum</dc:creator>
  <cp:lastModifiedBy>Microsoft Office User</cp:lastModifiedBy>
  <dcterms:created xsi:type="dcterms:W3CDTF">2014-08-07T19:24:06Z</dcterms:created>
  <dcterms:modified xsi:type="dcterms:W3CDTF">2019-03-15T15:51:07Z</dcterms:modified>
</cp:coreProperties>
</file>