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locum/Documents/Mac files/Companies/ASML folder/PMD Nov 2021/"/>
    </mc:Choice>
  </mc:AlternateContent>
  <xr:revisionPtr revIDLastSave="0" documentId="8_{A5BF1A29-3363-3C42-AF32-82864F48A213}" xr6:coauthVersionLast="47" xr6:coauthVersionMax="47" xr10:uidLastSave="{00000000-0000-0000-0000-000000000000}"/>
  <bookViews>
    <workbookView xWindow="1360" yWindow="720" windowWidth="29360" windowHeight="15000" xr2:uid="{25AEF8E7-75FC-2943-B748-5DDDD8FE6C5E}"/>
  </bookViews>
  <sheets>
    <sheet name="Wind turbine size" sheetId="1" r:id="rId1"/>
    <sheet name="revisionsrev" sheetId="4" r:id="rId2"/>
    <sheet name="Irrigation systems" sheetId="2" r:id="rId3"/>
    <sheet name="Hub height and pole" sheetId="3" r:id="rId4"/>
  </sheets>
  <definedNames>
    <definedName name="Aairgap">'Wind turbine size'!$C$13</definedName>
    <definedName name="Agensurf">'Wind turbine size'!$C$40</definedName>
    <definedName name="Arearatio">'Wind turbine size'!$C$41</definedName>
    <definedName name="Asys">'Wind turbine size'!$C$32</definedName>
    <definedName name="cp">'Wind turbine size'!$C$16</definedName>
    <definedName name="DM">'Wind turbine size'!$C$11</definedName>
    <definedName name="Drotor">'Wind turbine size'!$C$18</definedName>
    <definedName name="Dsys">'Wind turbine size'!$C$31</definedName>
    <definedName name="DT">'Wind turbine size'!$C$34</definedName>
    <definedName name="DTr">'Wind turbine size'!$C$39</definedName>
    <definedName name="etagen">'Wind turbine size'!$C$27</definedName>
    <definedName name="gam">'Wind turbine size'!$C$10</definedName>
    <definedName name="hconvect">'Wind turbine size'!$C$33</definedName>
    <definedName name="hconvectf">'Wind turbine size'!$C$37</definedName>
    <definedName name="hnatural">'Wind turbine size'!$C$38</definedName>
    <definedName name="mach">'Wind turbine size'!$C$20</definedName>
    <definedName name="Nsurf">'Wind turbine size'!#REF!</definedName>
    <definedName name="P">'Wind turbine size'!$C$8</definedName>
    <definedName name="Pcool">'Wind turbine size'!$C$35</definedName>
    <definedName name="Pcoolr">'Wind turbine size'!#REF!</definedName>
    <definedName name="pld">'Wind turbine size'!$C$30</definedName>
    <definedName name="plw">'Wind turbine size'!#REF!</definedName>
    <definedName name="ptd">'Wind turbine size'!$C$28</definedName>
    <definedName name="rhoair">'Wind turbine size'!$C$15</definedName>
    <definedName name="tau">'Wind turbine size'!$C$9</definedName>
    <definedName name="trotor">'Wind turbine size'!$C$23</definedName>
    <definedName name="vbt">'Wind turbine size'!$C$21</definedName>
    <definedName name="vsos">'Wind turbine size'!$C$14</definedName>
    <definedName name="vwind">'Wind turbine size'!$C$17</definedName>
    <definedName name="wrpm">'Wind turbine size'!$C$7</definedName>
    <definedName name="wrps">'Wind turbine size'!$C$22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C18" i="3"/>
  <c r="B20" i="3" s="1"/>
  <c r="B18" i="3"/>
  <c r="C15" i="3"/>
  <c r="C16" i="3" s="1"/>
  <c r="B22" i="3"/>
  <c r="B15" i="3"/>
  <c r="B16" i="3" s="1"/>
  <c r="B23" i="3" s="1"/>
  <c r="B6" i="3"/>
  <c r="B15" i="2"/>
  <c r="B23" i="2" s="1"/>
  <c r="B24" i="2" s="1"/>
  <c r="B7" i="2"/>
  <c r="B12" i="2"/>
  <c r="B13" i="2"/>
  <c r="B14" i="2" s="1"/>
  <c r="B21" i="2"/>
  <c r="C28" i="1"/>
  <c r="C40" i="1" s="1"/>
  <c r="C24" i="1"/>
  <c r="B9" i="3" s="1"/>
  <c r="C21" i="1"/>
  <c r="C18" i="1"/>
  <c r="B16" i="2" s="1"/>
  <c r="B18" i="2" s="1"/>
  <c r="C11" i="1"/>
  <c r="C12" i="1" s="1"/>
  <c r="C13" i="1" l="1"/>
  <c r="C41" i="1" s="1"/>
  <c r="H20" i="1"/>
  <c r="B7" i="3"/>
  <c r="B8" i="3" s="1"/>
  <c r="B11" i="3" s="1"/>
  <c r="B17" i="3" s="1"/>
  <c r="B19" i="3"/>
  <c r="B25" i="2"/>
  <c r="B28" i="2" s="1"/>
  <c r="B29" i="2" s="1"/>
  <c r="B19" i="2"/>
  <c r="C31" i="1"/>
  <c r="C32" i="1" s="1"/>
  <c r="C35" i="1" s="1"/>
  <c r="C22" i="1"/>
  <c r="C7" i="1" l="1"/>
  <c r="C23" i="1"/>
  <c r="H23" i="1" s="1"/>
  <c r="C17" i="3"/>
</calcChain>
</file>

<file path=xl/sharedStrings.xml><?xml version="1.0" encoding="utf-8"?>
<sst xmlns="http://schemas.openxmlformats.org/spreadsheetml/2006/main" count="170" uniqueCount="155">
  <si>
    <t>gam</t>
  </si>
  <si>
    <t>Dm</t>
  </si>
  <si>
    <t>Electromagnetic shear (atm)</t>
  </si>
  <si>
    <t>tau</t>
  </si>
  <si>
    <t>atm</t>
  </si>
  <si>
    <t>Desired power</t>
  </si>
  <si>
    <t>P</t>
  </si>
  <si>
    <t>MW</t>
  </si>
  <si>
    <t>wrpm</t>
  </si>
  <si>
    <t>rpm</t>
  </si>
  <si>
    <t>Required rotor diameter</t>
  </si>
  <si>
    <t>Ratio motor rotor length/diameter</t>
  </si>
  <si>
    <t>Rotor width</t>
  </si>
  <si>
    <t>Wrotor</t>
  </si>
  <si>
    <t>m</t>
  </si>
  <si>
    <t>:=DM*gam</t>
  </si>
  <si>
    <t>:=(P*1000000/(PI()*tau*100000*gam))^(1/3)</t>
  </si>
  <si>
    <t>Parameter</t>
  </si>
  <si>
    <t>name</t>
  </si>
  <si>
    <t>value</t>
  </si>
  <si>
    <t>units</t>
  </si>
  <si>
    <t>Equation, note</t>
  </si>
  <si>
    <t>m/s</t>
  </si>
  <si>
    <t>Speed sound air</t>
  </si>
  <si>
    <t>vsos</t>
  </si>
  <si>
    <t>rhoair</t>
  </si>
  <si>
    <t>kg/m^3</t>
  </si>
  <si>
    <t>Coeficient of performance</t>
  </si>
  <si>
    <t>cp</t>
  </si>
  <si>
    <t>vwind</t>
  </si>
  <si>
    <t>Drotor</t>
  </si>
  <si>
    <t>:=SQRT(8*P*1000000/(PI()*rhoair*vwind^3*cp))</t>
  </si>
  <si>
    <t>https://www.raeng.org.uk/publications/other/23-wind-turbine</t>
  </si>
  <si>
    <t>mach</t>
  </si>
  <si>
    <t>https://iopscience.iop.org/article/10.1088/1742-6596/1037/2/022003/pdf</t>
  </si>
  <si>
    <t>vbt</t>
  </si>
  <si>
    <t>Rotor speed</t>
  </si>
  <si>
    <t>Air density</t>
  </si>
  <si>
    <t>Wind speed</t>
  </si>
  <si>
    <t>wrps</t>
  </si>
  <si>
    <t>rad/s</t>
  </si>
  <si>
    <t>:=mach*343</t>
  </si>
  <si>
    <t>:=2*vbt/Drotor</t>
  </si>
  <si>
    <t>:=wrps*60/(2*PI())</t>
  </si>
  <si>
    <t>Velocity blade tip</t>
  </si>
  <si>
    <t>Axial force</t>
  </si>
  <si>
    <t>N</t>
  </si>
  <si>
    <t>:=P*1000000/vwind</t>
  </si>
  <si>
    <t>Faxial</t>
  </si>
  <si>
    <t>wind_power_rotor_generator</t>
  </si>
  <si>
    <t>Alex Slocum 2021.04.04</t>
  </si>
  <si>
    <r>
      <t xml:space="preserve">Inuts in </t>
    </r>
    <r>
      <rPr>
        <b/>
        <sz val="12"/>
        <color theme="1"/>
        <rFont val="Calibri"/>
        <family val="2"/>
        <scheme val="minor"/>
      </rPr>
      <t>BLACK</t>
    </r>
    <r>
      <rPr>
        <sz val="12"/>
        <color theme="1"/>
        <rFont val="Calibri"/>
        <family val="2"/>
        <scheme val="minor"/>
      </rPr>
      <t xml:space="preserve">, Outputs in </t>
    </r>
    <r>
      <rPr>
        <b/>
        <sz val="12"/>
        <color rgb="FFFF0000"/>
        <rFont val="Calibri (Body)"/>
      </rPr>
      <t>RED</t>
    </r>
  </si>
  <si>
    <t>Required generator rotor diameter</t>
  </si>
  <si>
    <t>% larger than generator rotor diameter</t>
  </si>
  <si>
    <t>Effective diameter</t>
  </si>
  <si>
    <t>pld</t>
  </si>
  <si>
    <t>Surface area</t>
  </si>
  <si>
    <t>m^2</t>
  </si>
  <si>
    <t>Asys</t>
  </si>
  <si>
    <t>Convection coefficient</t>
  </si>
  <si>
    <t>hconvect</t>
  </si>
  <si>
    <t>https://www.engineeringtoolbox.com/convective-heat-transfer-d_430.html#:~:text=Typical%20convective%20heat%20transfer%20coefficients,%2F(m2K))</t>
  </si>
  <si>
    <t>W/(m^2 K)</t>
  </si>
  <si>
    <t>DT</t>
  </si>
  <si>
    <t>Cooling power</t>
  </si>
  <si>
    <t>Temperature difference</t>
  </si>
  <si>
    <t>Cooling the hub and nacelle:  Assume a sphere</t>
  </si>
  <si>
    <t>Watts</t>
  </si>
  <si>
    <t>Generator efficiency</t>
  </si>
  <si>
    <t>Power to dissipate</t>
  </si>
  <si>
    <t>etagen</t>
  </si>
  <si>
    <t>Agensurf</t>
  </si>
  <si>
    <t>hconvectf</t>
  </si>
  <si>
    <t>DTr</t>
  </si>
  <si>
    <t>Cooling</t>
  </si>
  <si>
    <t>Pcool</t>
  </si>
  <si>
    <t>Forced air cooling convection coeficient</t>
  </si>
  <si>
    <t>hnatural</t>
  </si>
  <si>
    <t>C</t>
  </si>
  <si>
    <t>ptd</t>
  </si>
  <si>
    <t>:=(1-etagen)*P*1000000</t>
  </si>
  <si>
    <t>Dsys</t>
  </si>
  <si>
    <t>:=(1+pld)*DM</t>
  </si>
  <si>
    <t>:=4*PI()*(Dsys/2)^2</t>
  </si>
  <si>
    <t>:=DT*hconvect*Asys</t>
  </si>
  <si>
    <t>:=PI()*DM*gam*DM*(1+plw)</t>
  </si>
  <si>
    <t>Center pivot irrigation</t>
  </si>
  <si>
    <t>USA total electric sales (2018) GWh</t>
  </si>
  <si>
    <t>Average 24/7 power (GW)</t>
  </si>
  <si>
    <t>https://www.eia.gov/electricity/annual/html/epa_01_02.html</t>
  </si>
  <si>
    <t>USA average electric power generation</t>
  </si>
  <si>
    <t>1996 data (https://www.ars.usda.gov/ARSUserFiles/21563/center%20pivot%20design%202.pdf)</t>
  </si>
  <si>
    <t>Total number of center pivot irrigation machines</t>
  </si>
  <si>
    <t>(about 125,000 machines on approximately 19.5 million acres</t>
  </si>
  <si>
    <t>Total number of acres</t>
  </si>
  <si>
    <t>Acres per machine</t>
  </si>
  <si>
    <t>Area per machine (m^2)</t>
  </si>
  <si>
    <t>Diameter of irrigated circle (m)</t>
  </si>
  <si>
    <t>Turbine size to be located between fields (MW)</t>
  </si>
  <si>
    <t>Rotor diameter (m)</t>
  </si>
  <si>
    <t>Spacing / rotor diameter</t>
  </si>
  <si>
    <t>https://sciencing.com/much-land-needed-wind-turbines-12304634.html</t>
  </si>
  <si>
    <t>Ideal spacing for turbines (m)</t>
  </si>
  <si>
    <t>Resulting assumed spacing between fields (or change turbine spacing or newer machines larger)</t>
  </si>
  <si>
    <t>Assumed percentage of fields that could have turbines placed with them</t>
  </si>
  <si>
    <t>Potential number of wind turbines</t>
  </si>
  <si>
    <t>capacity factor</t>
  </si>
  <si>
    <t>Total 24/7 average power (GW) installable</t>
  </si>
  <si>
    <t>Percent of US total</t>
  </si>
  <si>
    <t>kWh/year from 1 turbine</t>
  </si>
  <si>
    <t>Dollars per kWh wholesale cost aid to turbine owner</t>
  </si>
  <si>
    <t>% to land owner</t>
  </si>
  <si>
    <t>$/turbine per year to landowner</t>
  </si>
  <si>
    <t>yield dollars/ acre to landowner</t>
  </si>
  <si>
    <t>Ratio Hub Height/ Blades' Diameter</t>
  </si>
  <si>
    <t>Axial force (N)</t>
  </si>
  <si>
    <t>Blades' diameter (m)</t>
  </si>
  <si>
    <t>Turbine Power (MW)</t>
  </si>
  <si>
    <t>Hub height (m)</t>
  </si>
  <si>
    <t>Design stress (MPa)</t>
  </si>
  <si>
    <t>Wall thickness at base (mm)</t>
  </si>
  <si>
    <t>Required moment of inertia/distance to neutral axis (mm^3)</t>
  </si>
  <si>
    <t>Diameter (m)</t>
  </si>
  <si>
    <t>Required aproximate diameter (D^3t/20 approx = I)</t>
  </si>
  <si>
    <t>Moment of inertia (mm^4)</t>
  </si>
  <si>
    <t>Stress</t>
  </si>
  <si>
    <t>Moment of inertia/distance to neutral axis Ioc (mm^3)</t>
  </si>
  <si>
    <t>ESTIMATED Ioc = D^2*t</t>
  </si>
  <si>
    <t>error</t>
  </si>
  <si>
    <t>Cross sectional area (mm^2)</t>
  </si>
  <si>
    <t>How much less steel used by big diameter thin wall pole?</t>
  </si>
  <si>
    <t>Mass ratio</t>
  </si>
  <si>
    <t>Thin wall large diameter strength estimate</t>
  </si>
  <si>
    <t>Rev</t>
  </si>
  <si>
    <t>date</t>
  </si>
  <si>
    <t>by</t>
  </si>
  <si>
    <t>what</t>
  </si>
  <si>
    <t>ahs</t>
  </si>
  <si>
    <t>Alowable Mach number at blade tip</t>
  </si>
  <si>
    <t>(Betz law limits ,max cp to 59.3%)</t>
  </si>
  <si>
    <t>Rotor torque</t>
  </si>
  <si>
    <t>Trotor</t>
  </si>
  <si>
    <t>MN-m</t>
  </si>
  <si>
    <t>:=P/wrps</t>
  </si>
  <si>
    <t>Arearatio</t>
  </si>
  <si>
    <t>https://ieeexplore.ieee.org/document/5635306</t>
  </si>
  <si>
    <t>Air gap electromagnetic shear area</t>
  </si>
  <si>
    <t>Aairgap</t>
  </si>
  <si>
    <t>:=PI()*DM*C12</t>
  </si>
  <si>
    <t>Cooling the generator stator (windings) inside the hub</t>
  </si>
  <si>
    <t>Increase in effective surface area over air gap area needed with internal passages in laminations to achieve required cooling</t>
  </si>
  <si>
    <t>EM shear stress to 1 atm for active cooled permanent magnet machines from discussions with Jim Kirtley</t>
  </si>
  <si>
    <t>update cooling model to determine surface area within stator needed</t>
  </si>
  <si>
    <t>ref Natural convection</t>
  </si>
  <si>
    <t>Surface area in stator required for cooling power to dissipate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</si>
</sst>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_);_(* \(#,##0\);_(* &quot;-&quot;??_);_(@_)"/>
  </numFmts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FF0000"/>
      <name val="Calibri (Body)"/>
    </font>
    <font>
      <b/>
      <sz val="12"/>
      <color theme="9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1" xfId="0" applyBorder="1"/>
    <xf numFmtId="0" fontId="0" fillId="0" borderId="0" xfId="0" applyFill="1"/>
    <xf numFmtId="0" fontId="2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6" fillId="0" borderId="1" xfId="0" applyFont="1" applyFill="1" applyBorder="1"/>
    <xf numFmtId="0" fontId="6" fillId="0" borderId="1" xfId="0" applyFont="1" applyFill="1" applyBorder="1" applyAlignment="1">
      <alignment horizontal="center"/>
    </xf>
    <xf numFmtId="2" fontId="8" fillId="0" borderId="1" xfId="0" applyNumberFormat="1" applyFont="1" applyFill="1" applyBorder="1"/>
    <xf numFmtId="2" fontId="8" fillId="0" borderId="1" xfId="0" applyNumberFormat="1" applyFont="1" applyBorder="1"/>
    <xf numFmtId="0" fontId="0" fillId="0" borderId="1" xfId="0" applyFill="1" applyBorder="1"/>
    <xf numFmtId="0" fontId="2" fillId="0" borderId="0" xfId="0" applyFont="1"/>
    <xf numFmtId="164" fontId="3" fillId="0" borderId="1" xfId="0" applyNumberFormat="1" applyFont="1" applyBorder="1"/>
    <xf numFmtId="0" fontId="3" fillId="0" borderId="1" xfId="0" applyFont="1" applyBorder="1"/>
    <xf numFmtId="2" fontId="3" fillId="0" borderId="1" xfId="0" applyNumberFormat="1" applyFont="1" applyBorder="1"/>
    <xf numFmtId="164" fontId="8" fillId="0" borderId="1" xfId="0" applyNumberFormat="1" applyFont="1" applyBorder="1"/>
    <xf numFmtId="0" fontId="2" fillId="0" borderId="1" xfId="0" applyFont="1" applyBorder="1" applyAlignment="1">
      <alignment horizontal="center"/>
    </xf>
    <xf numFmtId="165" fontId="3" fillId="0" borderId="1" xfId="1" applyNumberFormat="1" applyFont="1" applyBorder="1"/>
    <xf numFmtId="0" fontId="6" fillId="0" borderId="1" xfId="0" applyFont="1" applyFill="1" applyBorder="1" applyAlignment="1">
      <alignment horizontal="left" indent="1"/>
    </xf>
    <xf numFmtId="9" fontId="2" fillId="0" borderId="1" xfId="2" applyFont="1" applyBorder="1"/>
    <xf numFmtId="1" fontId="3" fillId="0" borderId="1" xfId="0" applyNumberFormat="1" applyFont="1" applyBorder="1"/>
    <xf numFmtId="0" fontId="0" fillId="0" borderId="1" xfId="0" applyBorder="1" applyAlignment="1">
      <alignment wrapText="1"/>
    </xf>
    <xf numFmtId="0" fontId="6" fillId="0" borderId="1" xfId="0" applyFont="1" applyFill="1" applyBorder="1" applyAlignment="1">
      <alignment horizontal="left" wrapText="1" indent="1"/>
    </xf>
    <xf numFmtId="3" fontId="2" fillId="0" borderId="1" xfId="0" applyNumberFormat="1" applyFont="1" applyBorder="1"/>
    <xf numFmtId="165" fontId="10" fillId="0" borderId="1" xfId="1" applyNumberFormat="1" applyFont="1" applyBorder="1"/>
    <xf numFmtId="11" fontId="2" fillId="0" borderId="1" xfId="0" applyNumberFormat="1" applyFont="1" applyBorder="1"/>
    <xf numFmtId="1" fontId="10" fillId="0" borderId="1" xfId="0" applyNumberFormat="1" applyFont="1" applyBorder="1"/>
    <xf numFmtId="0" fontId="10" fillId="0" borderId="1" xfId="0" applyFont="1" applyBorder="1"/>
    <xf numFmtId="9" fontId="10" fillId="0" borderId="1" xfId="2" applyFont="1" applyBorder="1"/>
    <xf numFmtId="44" fontId="10" fillId="0" borderId="1" xfId="3" applyFont="1" applyBorder="1"/>
    <xf numFmtId="1" fontId="2" fillId="0" borderId="1" xfId="0" applyNumberFormat="1" applyFont="1" applyBorder="1"/>
    <xf numFmtId="11" fontId="0" fillId="0" borderId="0" xfId="0" applyNumberFormat="1"/>
    <xf numFmtId="11" fontId="3" fillId="0" borderId="1" xfId="0" applyNumberFormat="1" applyFont="1" applyBorder="1"/>
    <xf numFmtId="9" fontId="3" fillId="0" borderId="1" xfId="2" applyFont="1" applyBorder="1"/>
    <xf numFmtId="15" fontId="0" fillId="0" borderId="0" xfId="0" applyNumberFormat="1"/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0" fillId="2" borderId="1" xfId="0" applyFill="1" applyBorder="1"/>
    <xf numFmtId="0" fontId="7" fillId="0" borderId="1" xfId="0" applyFont="1" applyFill="1" applyBorder="1"/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FCC7D-7884-1044-8FC4-533AC48E818B}">
  <dimension ref="A1:J41"/>
  <sheetViews>
    <sheetView tabSelected="1" topLeftCell="A3" workbookViewId="0">
      <selection activeCell="G14" sqref="G14"/>
    </sheetView>
  </sheetViews>
  <sheetFormatPr baseColWidth="10" defaultRowHeight="16" x14ac:dyDescent="0.2"/>
  <cols>
    <col min="1" max="1" width="59.83203125" customWidth="1"/>
    <col min="2" max="2" width="10.6640625" customWidth="1"/>
    <col min="3" max="3" width="11.5" bestFit="1" customWidth="1"/>
    <col min="5" max="5" width="64.33203125" customWidth="1"/>
  </cols>
  <sheetData>
    <row r="1" spans="1:10" x14ac:dyDescent="0.2">
      <c r="A1" t="s">
        <v>49</v>
      </c>
    </row>
    <row r="2" spans="1:10" x14ac:dyDescent="0.2">
      <c r="A2" t="s">
        <v>50</v>
      </c>
    </row>
    <row r="3" spans="1:10" x14ac:dyDescent="0.2">
      <c r="A3" t="s">
        <v>51</v>
      </c>
    </row>
    <row r="6" spans="1:10" s="15" customFormat="1" x14ac:dyDescent="0.2">
      <c r="A6" s="3" t="s">
        <v>17</v>
      </c>
      <c r="B6" s="20" t="s">
        <v>18</v>
      </c>
      <c r="C6" s="20" t="s">
        <v>19</v>
      </c>
      <c r="D6" s="20" t="s">
        <v>20</v>
      </c>
      <c r="E6" s="3" t="s">
        <v>21</v>
      </c>
    </row>
    <row r="7" spans="1:10" x14ac:dyDescent="0.2">
      <c r="A7" s="4" t="s">
        <v>36</v>
      </c>
      <c r="B7" s="5" t="s">
        <v>8</v>
      </c>
      <c r="C7" s="19">
        <f>wrps*60/(2*PI())</f>
        <v>5.2872875007010611</v>
      </c>
      <c r="D7" s="5" t="s">
        <v>9</v>
      </c>
      <c r="E7" s="1" t="s">
        <v>43</v>
      </c>
    </row>
    <row r="8" spans="1:10" x14ac:dyDescent="0.2">
      <c r="A8" s="4" t="s">
        <v>5</v>
      </c>
      <c r="B8" s="5" t="s">
        <v>6</v>
      </c>
      <c r="C8" s="6">
        <v>20</v>
      </c>
      <c r="D8" s="5" t="s">
        <v>7</v>
      </c>
      <c r="E8" s="1"/>
    </row>
    <row r="9" spans="1:10" x14ac:dyDescent="0.2">
      <c r="A9" s="39" t="s">
        <v>2</v>
      </c>
      <c r="B9" s="40" t="s">
        <v>3</v>
      </c>
      <c r="C9" s="41">
        <v>1</v>
      </c>
      <c r="D9" s="40" t="s">
        <v>4</v>
      </c>
      <c r="E9" s="42"/>
    </row>
    <row r="10" spans="1:10" x14ac:dyDescent="0.2">
      <c r="A10" s="7" t="s">
        <v>11</v>
      </c>
      <c r="B10" s="8" t="s">
        <v>0</v>
      </c>
      <c r="C10" s="9">
        <v>0.5</v>
      </c>
      <c r="D10" s="5"/>
      <c r="E10" s="1"/>
    </row>
    <row r="11" spans="1:10" s="2" customFormat="1" x14ac:dyDescent="0.2">
      <c r="A11" s="10" t="s">
        <v>52</v>
      </c>
      <c r="B11" s="11" t="s">
        <v>1</v>
      </c>
      <c r="C11" s="12">
        <f>(P*1000000/(PI()*tau*100000*gam))^(1/3)</f>
        <v>5.030795991604359</v>
      </c>
      <c r="D11" s="11" t="s">
        <v>14</v>
      </c>
      <c r="E11" s="14" t="s">
        <v>16</v>
      </c>
      <c r="J11" s="2">
        <f>2*3.383</f>
        <v>6.766</v>
      </c>
    </row>
    <row r="12" spans="1:10" x14ac:dyDescent="0.2">
      <c r="A12" s="10" t="s">
        <v>12</v>
      </c>
      <c r="B12" s="11" t="s">
        <v>13</v>
      </c>
      <c r="C12" s="13">
        <f>DM*gam</f>
        <v>2.5153979958021795</v>
      </c>
      <c r="D12" s="5" t="s">
        <v>14</v>
      </c>
      <c r="E12" s="1" t="s">
        <v>15</v>
      </c>
    </row>
    <row r="13" spans="1:10" x14ac:dyDescent="0.2">
      <c r="A13" s="10" t="s">
        <v>146</v>
      </c>
      <c r="B13" s="11" t="s">
        <v>147</v>
      </c>
      <c r="C13" s="13">
        <f>PI()*DM*C12</f>
        <v>39.755140207189854</v>
      </c>
      <c r="D13" s="5" t="s">
        <v>57</v>
      </c>
      <c r="E13" s="1" t="s">
        <v>148</v>
      </c>
    </row>
    <row r="14" spans="1:10" x14ac:dyDescent="0.2">
      <c r="A14" s="10" t="s">
        <v>23</v>
      </c>
      <c r="B14" s="11" t="s">
        <v>24</v>
      </c>
      <c r="C14" s="3">
        <v>343</v>
      </c>
      <c r="D14" s="1" t="s">
        <v>22</v>
      </c>
      <c r="E14" s="1"/>
    </row>
    <row r="15" spans="1:10" x14ac:dyDescent="0.2">
      <c r="A15" s="10" t="s">
        <v>37</v>
      </c>
      <c r="B15" s="11" t="s">
        <v>25</v>
      </c>
      <c r="C15" s="3">
        <v>1.2</v>
      </c>
      <c r="D15" s="1" t="s">
        <v>26</v>
      </c>
      <c r="E15" s="1"/>
    </row>
    <row r="16" spans="1:10" x14ac:dyDescent="0.2">
      <c r="A16" s="10" t="s">
        <v>27</v>
      </c>
      <c r="B16" s="11" t="s">
        <v>28</v>
      </c>
      <c r="C16" s="3">
        <v>0.4</v>
      </c>
      <c r="D16" s="1"/>
      <c r="E16" s="1" t="s">
        <v>139</v>
      </c>
    </row>
    <row r="17" spans="1:8" x14ac:dyDescent="0.2">
      <c r="A17" s="10" t="s">
        <v>38</v>
      </c>
      <c r="B17" s="11" t="s">
        <v>29</v>
      </c>
      <c r="C17" s="3">
        <v>12</v>
      </c>
      <c r="D17" s="1" t="s">
        <v>22</v>
      </c>
      <c r="E17" s="1"/>
    </row>
    <row r="18" spans="1:8" x14ac:dyDescent="0.2">
      <c r="A18" s="10" t="s">
        <v>10</v>
      </c>
      <c r="B18" s="11" t="s">
        <v>30</v>
      </c>
      <c r="C18" s="16">
        <f>SQRT(8*P*1000000/(PI()*rhoair*vwind^3*cp))</f>
        <v>247.79501613232932</v>
      </c>
      <c r="D18" s="1" t="s">
        <v>14</v>
      </c>
      <c r="E18" s="1" t="s">
        <v>31</v>
      </c>
      <c r="H18">
        <v>175.2</v>
      </c>
    </row>
    <row r="19" spans="1:8" x14ac:dyDescent="0.2">
      <c r="A19" s="1"/>
      <c r="B19" s="1"/>
      <c r="C19" s="3"/>
      <c r="D19" s="1"/>
      <c r="E19" s="1" t="s">
        <v>32</v>
      </c>
    </row>
    <row r="20" spans="1:8" x14ac:dyDescent="0.2">
      <c r="A20" s="10" t="s">
        <v>138</v>
      </c>
      <c r="B20" s="11" t="s">
        <v>33</v>
      </c>
      <c r="C20" s="3">
        <v>0.2</v>
      </c>
      <c r="D20" s="1"/>
      <c r="E20" s="1" t="s">
        <v>34</v>
      </c>
      <c r="H20">
        <f>(Drotor/H18)</f>
        <v>1.4143551149105555</v>
      </c>
    </row>
    <row r="21" spans="1:8" x14ac:dyDescent="0.2">
      <c r="A21" s="10" t="s">
        <v>44</v>
      </c>
      <c r="B21" s="11" t="s">
        <v>35</v>
      </c>
      <c r="C21" s="17">
        <f>mach*343</f>
        <v>68.600000000000009</v>
      </c>
      <c r="D21" s="1" t="s">
        <v>22</v>
      </c>
      <c r="E21" s="1" t="s">
        <v>41</v>
      </c>
    </row>
    <row r="22" spans="1:8" x14ac:dyDescent="0.2">
      <c r="A22" s="10" t="s">
        <v>36</v>
      </c>
      <c r="B22" s="11" t="s">
        <v>39</v>
      </c>
      <c r="C22" s="18">
        <f>2*vbt/Drotor</f>
        <v>0.55368345232065308</v>
      </c>
      <c r="D22" s="1" t="s">
        <v>40</v>
      </c>
      <c r="E22" s="1" t="s">
        <v>42</v>
      </c>
      <c r="H22">
        <v>36.119999999999997</v>
      </c>
    </row>
    <row r="23" spans="1:8" x14ac:dyDescent="0.2">
      <c r="A23" s="10" t="s">
        <v>140</v>
      </c>
      <c r="B23" s="11" t="s">
        <v>141</v>
      </c>
      <c r="C23" s="18">
        <f>P/wrps</f>
        <v>36.121722468269574</v>
      </c>
      <c r="D23" s="1" t="s">
        <v>142</v>
      </c>
      <c r="E23" s="1" t="s">
        <v>143</v>
      </c>
      <c r="H23">
        <f>H22/trotor</f>
        <v>0.99995231489109937</v>
      </c>
    </row>
    <row r="24" spans="1:8" x14ac:dyDescent="0.2">
      <c r="A24" s="10" t="s">
        <v>45</v>
      </c>
      <c r="B24" s="11" t="s">
        <v>48</v>
      </c>
      <c r="C24" s="21">
        <f>P*1000000/vwind</f>
        <v>1666666.6666666667</v>
      </c>
      <c r="D24" s="1" t="s">
        <v>46</v>
      </c>
      <c r="E24" s="1" t="s">
        <v>47</v>
      </c>
    </row>
    <row r="26" spans="1:8" x14ac:dyDescent="0.2">
      <c r="A26" s="43" t="s">
        <v>74</v>
      </c>
      <c r="B26" s="1"/>
      <c r="C26" s="1"/>
      <c r="D26" s="1"/>
      <c r="E26" s="1"/>
    </row>
    <row r="27" spans="1:8" x14ac:dyDescent="0.2">
      <c r="A27" s="22" t="s">
        <v>68</v>
      </c>
      <c r="B27" s="11" t="s">
        <v>70</v>
      </c>
      <c r="C27" s="23">
        <v>0.97</v>
      </c>
      <c r="D27" s="1"/>
      <c r="E27" s="1" t="s">
        <v>145</v>
      </c>
    </row>
    <row r="28" spans="1:8" x14ac:dyDescent="0.2">
      <c r="A28" s="22" t="s">
        <v>69</v>
      </c>
      <c r="B28" s="11" t="s">
        <v>79</v>
      </c>
      <c r="C28" s="21">
        <f>(1-etagen)*P*1000000</f>
        <v>600000.00000000058</v>
      </c>
      <c r="D28" s="1" t="s">
        <v>67</v>
      </c>
      <c r="E28" s="1" t="s">
        <v>80</v>
      </c>
    </row>
    <row r="29" spans="1:8" x14ac:dyDescent="0.2">
      <c r="A29" s="43" t="s">
        <v>66</v>
      </c>
      <c r="B29" s="1"/>
      <c r="C29" s="1"/>
      <c r="D29" s="1"/>
      <c r="E29" s="1"/>
    </row>
    <row r="30" spans="1:8" x14ac:dyDescent="0.2">
      <c r="A30" s="22" t="s">
        <v>53</v>
      </c>
      <c r="B30" s="11" t="s">
        <v>55</v>
      </c>
      <c r="C30" s="23">
        <v>0.3</v>
      </c>
      <c r="D30" s="1"/>
      <c r="E30" s="1"/>
    </row>
    <row r="31" spans="1:8" x14ac:dyDescent="0.2">
      <c r="A31" s="22" t="s">
        <v>54</v>
      </c>
      <c r="B31" s="11" t="s">
        <v>81</v>
      </c>
      <c r="C31" s="18">
        <f>(1+pld)*DM</f>
        <v>6.5400347890856665</v>
      </c>
      <c r="D31" s="1" t="s">
        <v>14</v>
      </c>
      <c r="E31" s="1" t="s">
        <v>82</v>
      </c>
    </row>
    <row r="32" spans="1:8" x14ac:dyDescent="0.2">
      <c r="A32" s="22" t="s">
        <v>56</v>
      </c>
      <c r="B32" s="11" t="s">
        <v>58</v>
      </c>
      <c r="C32" s="24">
        <f>4*PI()*(Dsys/2)^2</f>
        <v>134.37237390030168</v>
      </c>
      <c r="D32" s="1" t="s">
        <v>57</v>
      </c>
      <c r="E32" s="1" t="s">
        <v>83</v>
      </c>
    </row>
    <row r="33" spans="1:5" ht="51" x14ac:dyDescent="0.2">
      <c r="A33" s="22" t="s">
        <v>59</v>
      </c>
      <c r="B33" s="11" t="s">
        <v>60</v>
      </c>
      <c r="C33" s="3">
        <v>40</v>
      </c>
      <c r="D33" s="1" t="s">
        <v>62</v>
      </c>
      <c r="E33" s="25" t="s">
        <v>61</v>
      </c>
    </row>
    <row r="34" spans="1:5" x14ac:dyDescent="0.2">
      <c r="A34" s="22" t="s">
        <v>65</v>
      </c>
      <c r="B34" s="11" t="s">
        <v>63</v>
      </c>
      <c r="C34" s="3">
        <v>40</v>
      </c>
      <c r="D34" s="1" t="s">
        <v>78</v>
      </c>
      <c r="E34" s="1"/>
    </row>
    <row r="35" spans="1:5" x14ac:dyDescent="0.2">
      <c r="A35" s="22" t="s">
        <v>64</v>
      </c>
      <c r="B35" s="11" t="s">
        <v>75</v>
      </c>
      <c r="C35" s="21">
        <f>DT*hconvect*Asys</f>
        <v>214995.79824048269</v>
      </c>
      <c r="D35" s="1" t="s">
        <v>67</v>
      </c>
      <c r="E35" s="1" t="s">
        <v>84</v>
      </c>
    </row>
    <row r="36" spans="1:5" x14ac:dyDescent="0.2">
      <c r="A36" s="3" t="s">
        <v>149</v>
      </c>
      <c r="B36" s="1"/>
      <c r="C36" s="3"/>
      <c r="D36" s="1"/>
      <c r="E36" s="1"/>
    </row>
    <row r="37" spans="1:5" ht="51" x14ac:dyDescent="0.2">
      <c r="A37" s="22" t="s">
        <v>76</v>
      </c>
      <c r="B37" s="1" t="s">
        <v>72</v>
      </c>
      <c r="C37" s="3">
        <v>50</v>
      </c>
      <c r="D37" s="1" t="s">
        <v>62</v>
      </c>
      <c r="E37" s="25" t="s">
        <v>61</v>
      </c>
    </row>
    <row r="38" spans="1:5" x14ac:dyDescent="0.2">
      <c r="A38" s="22" t="s">
        <v>153</v>
      </c>
      <c r="B38" s="1" t="s">
        <v>77</v>
      </c>
      <c r="C38" s="3">
        <v>20</v>
      </c>
      <c r="D38" s="1" t="s">
        <v>62</v>
      </c>
      <c r="E38" s="1"/>
    </row>
    <row r="39" spans="1:5" x14ac:dyDescent="0.2">
      <c r="A39" s="22" t="s">
        <v>65</v>
      </c>
      <c r="B39" s="1" t="s">
        <v>73</v>
      </c>
      <c r="C39" s="3">
        <v>40</v>
      </c>
      <c r="D39" s="1" t="s">
        <v>78</v>
      </c>
      <c r="E39" s="1"/>
    </row>
    <row r="40" spans="1:5" x14ac:dyDescent="0.2">
      <c r="A40" s="22" t="s">
        <v>154</v>
      </c>
      <c r="B40" s="1" t="s">
        <v>71</v>
      </c>
      <c r="C40" s="16">
        <f>ptd/(hconvectf*DTr)</f>
        <v>300.00000000000028</v>
      </c>
      <c r="D40" s="1" t="s">
        <v>57</v>
      </c>
      <c r="E40" s="1" t="s">
        <v>85</v>
      </c>
    </row>
    <row r="41" spans="1:5" ht="34" x14ac:dyDescent="0.2">
      <c r="A41" s="26" t="s">
        <v>150</v>
      </c>
      <c r="B41" s="1" t="s">
        <v>144</v>
      </c>
      <c r="C41" s="16">
        <f>Agensurf/C13</f>
        <v>7.5461939874065456</v>
      </c>
      <c r="D41" s="1"/>
      <c r="E41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CBEAA-F013-DB49-9CF8-EC6C83F5D5EE}">
  <dimension ref="A1:D3"/>
  <sheetViews>
    <sheetView workbookViewId="0">
      <selection activeCell="D12" sqref="D12"/>
    </sheetView>
  </sheetViews>
  <sheetFormatPr baseColWidth="10" defaultRowHeight="16" x14ac:dyDescent="0.2"/>
  <sheetData>
    <row r="1" spans="1:4" x14ac:dyDescent="0.2">
      <c r="A1" t="s">
        <v>133</v>
      </c>
      <c r="B1" t="s">
        <v>134</v>
      </c>
      <c r="C1" t="s">
        <v>135</v>
      </c>
      <c r="D1" t="s">
        <v>136</v>
      </c>
    </row>
    <row r="2" spans="1:4" x14ac:dyDescent="0.2">
      <c r="A2">
        <v>2</v>
      </c>
      <c r="B2" s="38">
        <v>44507</v>
      </c>
      <c r="C2" t="s">
        <v>137</v>
      </c>
      <c r="D2" t="s">
        <v>151</v>
      </c>
    </row>
    <row r="3" spans="1:4" x14ac:dyDescent="0.2">
      <c r="A3">
        <v>3</v>
      </c>
      <c r="B3" s="38">
        <v>44508</v>
      </c>
      <c r="C3" t="s">
        <v>137</v>
      </c>
      <c r="D3" t="s">
        <v>152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19AFF-24E0-754B-8D9E-55445CEBB0EF}">
  <dimension ref="A5:C29"/>
  <sheetViews>
    <sheetView topLeftCell="A10" workbookViewId="0">
      <selection activeCell="D31" sqref="D31"/>
    </sheetView>
  </sheetViews>
  <sheetFormatPr baseColWidth="10" defaultRowHeight="16" x14ac:dyDescent="0.2"/>
  <cols>
    <col min="1" max="1" width="52.1640625" customWidth="1"/>
    <col min="2" max="2" width="13.33203125" customWidth="1"/>
  </cols>
  <sheetData>
    <row r="5" spans="1:3" x14ac:dyDescent="0.2">
      <c r="A5" s="1" t="s">
        <v>86</v>
      </c>
      <c r="B5" s="3"/>
      <c r="C5" s="1"/>
    </row>
    <row r="6" spans="1:3" x14ac:dyDescent="0.2">
      <c r="A6" s="1" t="s">
        <v>87</v>
      </c>
      <c r="B6" s="27">
        <v>3859185</v>
      </c>
      <c r="C6" s="1"/>
    </row>
    <row r="7" spans="1:3" x14ac:dyDescent="0.2">
      <c r="A7" s="1" t="s">
        <v>88</v>
      </c>
      <c r="B7" s="28">
        <f>B6/(365*24)</f>
        <v>440.54623287671234</v>
      </c>
      <c r="C7" s="1" t="s">
        <v>89</v>
      </c>
    </row>
    <row r="8" spans="1:3" x14ac:dyDescent="0.2">
      <c r="A8" s="1" t="s">
        <v>90</v>
      </c>
      <c r="B8" s="3"/>
      <c r="C8" s="1"/>
    </row>
    <row r="9" spans="1:3" x14ac:dyDescent="0.2">
      <c r="A9" s="1" t="s">
        <v>91</v>
      </c>
      <c r="B9" s="3"/>
      <c r="C9" s="1"/>
    </row>
    <row r="10" spans="1:3" x14ac:dyDescent="0.2">
      <c r="A10" s="1" t="s">
        <v>92</v>
      </c>
      <c r="B10" s="3">
        <v>125000</v>
      </c>
      <c r="C10" s="1" t="s">
        <v>93</v>
      </c>
    </row>
    <row r="11" spans="1:3" x14ac:dyDescent="0.2">
      <c r="A11" s="1" t="s">
        <v>94</v>
      </c>
      <c r="B11" s="29">
        <v>19500000</v>
      </c>
      <c r="C11" s="1"/>
    </row>
    <row r="12" spans="1:3" x14ac:dyDescent="0.2">
      <c r="A12" s="1" t="s">
        <v>95</v>
      </c>
      <c r="B12" s="30">
        <f>B11/B10</f>
        <v>156</v>
      </c>
      <c r="C12" s="1"/>
    </row>
    <row r="13" spans="1:3" x14ac:dyDescent="0.2">
      <c r="A13" s="1" t="s">
        <v>96</v>
      </c>
      <c r="B13" s="28">
        <f>B12*4046.86</f>
        <v>631310.16</v>
      </c>
      <c r="C13" s="1"/>
    </row>
    <row r="14" spans="1:3" x14ac:dyDescent="0.2">
      <c r="A14" s="1" t="s">
        <v>97</v>
      </c>
      <c r="B14" s="30">
        <f>2*SQRT(B13/PI())</f>
        <v>896.55399207470089</v>
      </c>
      <c r="C14" s="1"/>
    </row>
    <row r="15" spans="1:3" x14ac:dyDescent="0.2">
      <c r="A15" s="1" t="s">
        <v>98</v>
      </c>
      <c r="B15" s="3">
        <f>P</f>
        <v>20</v>
      </c>
      <c r="C15" s="1"/>
    </row>
    <row r="16" spans="1:3" x14ac:dyDescent="0.2">
      <c r="A16" s="1" t="s">
        <v>99</v>
      </c>
      <c r="B16" s="34">
        <f>Drotor</f>
        <v>247.79501613232932</v>
      </c>
      <c r="C16" s="1"/>
    </row>
    <row r="17" spans="1:3" x14ac:dyDescent="0.2">
      <c r="A17" s="1" t="s">
        <v>100</v>
      </c>
      <c r="B17" s="3">
        <v>7</v>
      </c>
      <c r="C17" s="1" t="s">
        <v>101</v>
      </c>
    </row>
    <row r="18" spans="1:3" x14ac:dyDescent="0.2">
      <c r="A18" s="1" t="s">
        <v>102</v>
      </c>
      <c r="B18" s="30">
        <f>B17*B16</f>
        <v>1734.5651129263053</v>
      </c>
      <c r="C18" s="1"/>
    </row>
    <row r="19" spans="1:3" ht="34" x14ac:dyDescent="0.2">
      <c r="A19" s="25" t="s">
        <v>103</v>
      </c>
      <c r="B19" s="30">
        <f>B14-B18</f>
        <v>-838.01112085160446</v>
      </c>
      <c r="C19" s="1"/>
    </row>
    <row r="20" spans="1:3" ht="34" x14ac:dyDescent="0.2">
      <c r="A20" s="25" t="s">
        <v>104</v>
      </c>
      <c r="B20" s="23">
        <v>0.5</v>
      </c>
      <c r="C20" s="1"/>
    </row>
    <row r="21" spans="1:3" x14ac:dyDescent="0.2">
      <c r="A21" s="1" t="s">
        <v>105</v>
      </c>
      <c r="B21" s="31">
        <f>B20*B10</f>
        <v>62500</v>
      </c>
      <c r="C21" s="1"/>
    </row>
    <row r="22" spans="1:3" x14ac:dyDescent="0.2">
      <c r="A22" s="1" t="s">
        <v>106</v>
      </c>
      <c r="B22" s="3">
        <v>0.4</v>
      </c>
      <c r="C22" s="1"/>
    </row>
    <row r="23" spans="1:3" x14ac:dyDescent="0.2">
      <c r="A23" s="1" t="s">
        <v>107</v>
      </c>
      <c r="B23" s="31">
        <f>B22*B21*B15/1000</f>
        <v>500</v>
      </c>
      <c r="C23" s="1"/>
    </row>
    <row r="24" spans="1:3" x14ac:dyDescent="0.2">
      <c r="A24" s="1" t="s">
        <v>108</v>
      </c>
      <c r="B24" s="32">
        <f>B23/B7</f>
        <v>1.1349546601160607</v>
      </c>
      <c r="C24" s="1"/>
    </row>
    <row r="25" spans="1:3" x14ac:dyDescent="0.2">
      <c r="A25" s="1" t="s">
        <v>109</v>
      </c>
      <c r="B25" s="28">
        <f>365*24*B15*1000*B22</f>
        <v>70080000</v>
      </c>
      <c r="C25" s="1"/>
    </row>
    <row r="26" spans="1:3" x14ac:dyDescent="0.2">
      <c r="A26" s="1" t="s">
        <v>110</v>
      </c>
      <c r="B26" s="3">
        <v>0.05</v>
      </c>
      <c r="C26" s="1"/>
    </row>
    <row r="27" spans="1:3" x14ac:dyDescent="0.2">
      <c r="A27" s="1" t="s">
        <v>111</v>
      </c>
      <c r="B27" s="23">
        <v>0.05</v>
      </c>
      <c r="C27" s="1"/>
    </row>
    <row r="28" spans="1:3" x14ac:dyDescent="0.2">
      <c r="A28" s="1" t="s">
        <v>112</v>
      </c>
      <c r="B28" s="33">
        <f>B27*B26*B25</f>
        <v>175200.00000000003</v>
      </c>
      <c r="C28" s="1"/>
    </row>
    <row r="29" spans="1:3" x14ac:dyDescent="0.2">
      <c r="A29" s="1" t="s">
        <v>113</v>
      </c>
      <c r="B29" s="33">
        <f>B28/B12</f>
        <v>1123.0769230769233</v>
      </c>
      <c r="C29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09700-F4B4-D442-BD9C-0BBC73B04AF9}">
  <dimension ref="A5:D23"/>
  <sheetViews>
    <sheetView workbookViewId="0">
      <selection activeCell="F16" sqref="F16"/>
    </sheetView>
  </sheetViews>
  <sheetFormatPr baseColWidth="10" defaultRowHeight="16" x14ac:dyDescent="0.2"/>
  <cols>
    <col min="1" max="1" width="53.1640625" customWidth="1"/>
    <col min="2" max="2" width="12.83203125" style="15" customWidth="1"/>
  </cols>
  <sheetData>
    <row r="5" spans="1:3" x14ac:dyDescent="0.2">
      <c r="A5" s="1" t="s">
        <v>114</v>
      </c>
      <c r="B5" s="3">
        <v>1</v>
      </c>
      <c r="C5" s="1"/>
    </row>
    <row r="6" spans="1:3" x14ac:dyDescent="0.2">
      <c r="A6" s="1" t="s">
        <v>117</v>
      </c>
      <c r="B6" s="17">
        <f>P</f>
        <v>20</v>
      </c>
      <c r="C6" s="1"/>
    </row>
    <row r="7" spans="1:3" x14ac:dyDescent="0.2">
      <c r="A7" s="1" t="s">
        <v>116</v>
      </c>
      <c r="B7" s="24">
        <f>Drotor</f>
        <v>247.79501613232932</v>
      </c>
      <c r="C7" s="1"/>
    </row>
    <row r="8" spans="1:3" x14ac:dyDescent="0.2">
      <c r="A8" s="1" t="s">
        <v>118</v>
      </c>
      <c r="B8" s="24">
        <f>B7*B5</f>
        <v>247.79501613232932</v>
      </c>
      <c r="C8" s="1"/>
    </row>
    <row r="9" spans="1:3" x14ac:dyDescent="0.2">
      <c r="A9" s="1" t="s">
        <v>115</v>
      </c>
      <c r="B9" s="21">
        <f>'Wind turbine size'!C24</f>
        <v>1666666.6666666667</v>
      </c>
      <c r="C9" s="1"/>
    </row>
    <row r="10" spans="1:3" x14ac:dyDescent="0.2">
      <c r="A10" s="1" t="s">
        <v>119</v>
      </c>
      <c r="B10" s="3">
        <v>100</v>
      </c>
      <c r="C10" s="1"/>
    </row>
    <row r="11" spans="1:3" x14ac:dyDescent="0.2">
      <c r="A11" s="1" t="s">
        <v>121</v>
      </c>
      <c r="B11" s="36">
        <f>B8*1000*B9/B10</f>
        <v>4129916935.5388227</v>
      </c>
      <c r="C11" s="1"/>
    </row>
    <row r="12" spans="1:3" x14ac:dyDescent="0.2">
      <c r="A12" s="1" t="s">
        <v>120</v>
      </c>
      <c r="B12" s="3">
        <v>30</v>
      </c>
      <c r="C12" s="1">
        <v>85</v>
      </c>
    </row>
    <row r="13" spans="1:3" x14ac:dyDescent="0.2">
      <c r="A13" s="1" t="s">
        <v>123</v>
      </c>
      <c r="B13" s="34"/>
      <c r="C13" s="1"/>
    </row>
    <row r="14" spans="1:3" x14ac:dyDescent="0.2">
      <c r="A14" s="1" t="s">
        <v>122</v>
      </c>
      <c r="B14" s="3">
        <v>7000</v>
      </c>
      <c r="C14" s="1">
        <v>4250</v>
      </c>
    </row>
    <row r="15" spans="1:3" x14ac:dyDescent="0.2">
      <c r="A15" s="1" t="s">
        <v>124</v>
      </c>
      <c r="B15" s="36">
        <f>PI()/64*(B14^4-(B14-2*B12)^4)</f>
        <v>3989215706504.3818</v>
      </c>
      <c r="C15" s="36">
        <f>PI()/64*(C14^4-(C14-2*C12)^4)</f>
        <v>2412707485663.2534</v>
      </c>
    </row>
    <row r="16" spans="1:3" x14ac:dyDescent="0.2">
      <c r="A16" s="1" t="s">
        <v>126</v>
      </c>
      <c r="B16" s="36">
        <f>B15/(B14/2)</f>
        <v>1139775916.144109</v>
      </c>
      <c r="C16" s="36">
        <f>C15/(C14/2)</f>
        <v>1135391757.959178</v>
      </c>
    </row>
    <row r="17" spans="1:4" x14ac:dyDescent="0.2">
      <c r="A17" s="1" t="s">
        <v>125</v>
      </c>
      <c r="B17" s="24">
        <f>$B10*$B11/B16</f>
        <v>362.34463959463517</v>
      </c>
      <c r="C17" s="24">
        <f>$B10*$B11/C16</f>
        <v>363.74378328782183</v>
      </c>
    </row>
    <row r="18" spans="1:4" x14ac:dyDescent="0.2">
      <c r="A18" s="1" t="s">
        <v>129</v>
      </c>
      <c r="B18" s="36">
        <f>PI()/4*(B14^2-(B14-2*B12)^2)</f>
        <v>656907.02386562573</v>
      </c>
      <c r="C18" s="36">
        <f>PI()/4*(C14^2-(C14-2*C12)^2)</f>
        <v>1112202.3391871266</v>
      </c>
      <c r="D18" s="35"/>
    </row>
    <row r="19" spans="1:4" x14ac:dyDescent="0.2">
      <c r="A19" s="1" t="s">
        <v>130</v>
      </c>
      <c r="B19" s="23">
        <f>(C18-B18)/C18</f>
        <v>0.40936374549819932</v>
      </c>
      <c r="C19" s="1"/>
    </row>
    <row r="20" spans="1:4" x14ac:dyDescent="0.2">
      <c r="A20" s="1" t="s">
        <v>131</v>
      </c>
      <c r="B20" s="29">
        <f>C18/B18</f>
        <v>1.6930894308943092</v>
      </c>
      <c r="C20" s="1"/>
    </row>
    <row r="21" spans="1:4" x14ac:dyDescent="0.2">
      <c r="A21" s="1" t="s">
        <v>132</v>
      </c>
      <c r="B21" s="29"/>
      <c r="C21" s="1"/>
      <c r="D21" s="35"/>
    </row>
    <row r="22" spans="1:4" x14ac:dyDescent="0.2">
      <c r="A22" s="1" t="s">
        <v>127</v>
      </c>
      <c r="B22" s="36">
        <f>B14^2*B12</f>
        <v>1470000000</v>
      </c>
      <c r="C22" s="1"/>
    </row>
    <row r="23" spans="1:4" x14ac:dyDescent="0.2">
      <c r="A23" s="1" t="s">
        <v>128</v>
      </c>
      <c r="B23" s="37">
        <f>1-B16/B22</f>
        <v>0.22464223391557214</v>
      </c>
      <c r="C2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28</vt:i4>
      </vt:variant>
    </vt:vector>
  </HeadingPairs>
  <TitlesOfParts>
    <vt:vector size="32" baseType="lpstr">
      <vt:lpstr>Wind turbine size</vt:lpstr>
      <vt:lpstr>revisionsrev</vt:lpstr>
      <vt:lpstr>Irrigation systems</vt:lpstr>
      <vt:lpstr>Hub height and pole</vt:lpstr>
      <vt:lpstr>Aairgap</vt:lpstr>
      <vt:lpstr>Agensurf</vt:lpstr>
      <vt:lpstr>Arearatio</vt:lpstr>
      <vt:lpstr>Asys</vt:lpstr>
      <vt:lpstr>cp</vt:lpstr>
      <vt:lpstr>DM</vt:lpstr>
      <vt:lpstr>Drotor</vt:lpstr>
      <vt:lpstr>Dsys</vt:lpstr>
      <vt:lpstr>DT</vt:lpstr>
      <vt:lpstr>DTr</vt:lpstr>
      <vt:lpstr>etagen</vt:lpstr>
      <vt:lpstr>gam</vt:lpstr>
      <vt:lpstr>hconvect</vt:lpstr>
      <vt:lpstr>hconvectf</vt:lpstr>
      <vt:lpstr>hnatural</vt:lpstr>
      <vt:lpstr>mach</vt:lpstr>
      <vt:lpstr>P</vt:lpstr>
      <vt:lpstr>Pcool</vt:lpstr>
      <vt:lpstr>pld</vt:lpstr>
      <vt:lpstr>ptd</vt:lpstr>
      <vt:lpstr>rhoair</vt:lpstr>
      <vt:lpstr>tau</vt:lpstr>
      <vt:lpstr>trotor</vt:lpstr>
      <vt:lpstr>vbt</vt:lpstr>
      <vt:lpstr>vsos</vt:lpstr>
      <vt:lpstr>vwind</vt:lpstr>
      <vt:lpstr>wrpm</vt:lpstr>
      <vt:lpstr>wrps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2021-04-04T10:38:41Z</dcterms:created>
  <dcterms:modified xsi:type="dcterms:W3CDTF">2021-11-11T21:15:25Z</dcterms:modified>
</cp:coreProperties>
</file>