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Activity 2 " sheetId="1" r:id="rId1"/>
    <sheet name="Activity 3" sheetId="2" r:id="rId2"/>
    <sheet name="ContactInfo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F48" i="1"/>
  <c r="B12" i="1"/>
  <c r="F12" i="1"/>
  <c r="E24" i="2"/>
  <c r="E23" i="2"/>
  <c r="D4" i="2"/>
  <c r="C9" i="2"/>
  <c r="D13" i="2"/>
  <c r="E13" i="2"/>
  <c r="D14" i="2"/>
  <c r="E14" i="2"/>
  <c r="D15" i="2"/>
  <c r="E15" i="2"/>
  <c r="D16" i="2"/>
  <c r="E16" i="2"/>
  <c r="D12" i="2"/>
  <c r="E12" i="2"/>
  <c r="E17" i="2"/>
  <c r="D5" i="2"/>
  <c r="E22" i="2"/>
  <c r="C13" i="1"/>
  <c r="D13" i="1"/>
  <c r="E13" i="1"/>
  <c r="C12" i="1"/>
  <c r="D12" i="1"/>
  <c r="E12" i="1"/>
  <c r="G13" i="1"/>
  <c r="C14" i="1"/>
  <c r="D14" i="1"/>
  <c r="E14" i="1"/>
  <c r="G14" i="1"/>
  <c r="C15" i="1"/>
  <c r="D15" i="1"/>
  <c r="E15" i="1"/>
  <c r="G15" i="1"/>
  <c r="C16" i="1"/>
  <c r="D16" i="1"/>
  <c r="E16" i="1"/>
  <c r="G16" i="1"/>
  <c r="C17" i="1"/>
  <c r="D17" i="1"/>
  <c r="E17" i="1"/>
  <c r="G17" i="1"/>
  <c r="C18" i="1"/>
  <c r="D18" i="1"/>
  <c r="E18" i="1"/>
  <c r="G18" i="1"/>
  <c r="C19" i="1"/>
  <c r="D19" i="1"/>
  <c r="E19" i="1"/>
  <c r="G19" i="1"/>
  <c r="C20" i="1"/>
  <c r="D20" i="1"/>
  <c r="E20" i="1"/>
  <c r="G20" i="1"/>
  <c r="C21" i="1"/>
  <c r="D21" i="1"/>
  <c r="E21" i="1"/>
  <c r="G21" i="1"/>
  <c r="C22" i="1"/>
  <c r="D22" i="1"/>
  <c r="E22" i="1"/>
  <c r="G22" i="1"/>
  <c r="C23" i="1"/>
  <c r="D23" i="1"/>
  <c r="E23" i="1"/>
  <c r="G23" i="1"/>
  <c r="D24" i="1"/>
  <c r="E24" i="1"/>
  <c r="G24" i="1"/>
  <c r="C25" i="1"/>
  <c r="D25" i="1"/>
  <c r="E25" i="1"/>
  <c r="G25" i="1"/>
  <c r="C26" i="1"/>
  <c r="D26" i="1"/>
  <c r="E26" i="1"/>
  <c r="G26" i="1"/>
  <c r="C27" i="1"/>
  <c r="D27" i="1"/>
  <c r="E27" i="1"/>
  <c r="G27" i="1"/>
  <c r="C28" i="1"/>
  <c r="D28" i="1"/>
  <c r="E28" i="1"/>
  <c r="G28" i="1"/>
  <c r="C29" i="1"/>
  <c r="D29" i="1"/>
  <c r="E29" i="1"/>
  <c r="G29" i="1"/>
  <c r="C30" i="1"/>
  <c r="D30" i="1"/>
  <c r="E30" i="1"/>
  <c r="G30" i="1"/>
  <c r="C31" i="1"/>
  <c r="D31" i="1"/>
  <c r="E31" i="1"/>
  <c r="G31" i="1"/>
  <c r="D32" i="1"/>
  <c r="E32" i="1"/>
  <c r="G32" i="1"/>
  <c r="C33" i="1"/>
  <c r="D33" i="1"/>
  <c r="E33" i="1"/>
  <c r="G33" i="1"/>
  <c r="H3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C34" i="1"/>
  <c r="D34" i="1"/>
  <c r="E34" i="1"/>
  <c r="G34" i="1"/>
  <c r="H34" i="1"/>
  <c r="C35" i="1"/>
  <c r="D35" i="1"/>
  <c r="E35" i="1"/>
  <c r="G35" i="1"/>
  <c r="H35" i="1"/>
  <c r="C36" i="1"/>
  <c r="D36" i="1"/>
  <c r="E36" i="1"/>
  <c r="G36" i="1"/>
  <c r="H36" i="1"/>
  <c r="C37" i="1"/>
  <c r="D37" i="1"/>
  <c r="E37" i="1"/>
  <c r="G37" i="1"/>
  <c r="H37" i="1"/>
  <c r="C38" i="1"/>
  <c r="D38" i="1"/>
  <c r="E38" i="1"/>
  <c r="G38" i="1"/>
  <c r="H38" i="1"/>
  <c r="C39" i="1"/>
  <c r="D39" i="1"/>
  <c r="E39" i="1"/>
  <c r="G39" i="1"/>
  <c r="H39" i="1"/>
  <c r="C40" i="1"/>
  <c r="D40" i="1"/>
  <c r="E40" i="1"/>
  <c r="G40" i="1"/>
  <c r="H40" i="1"/>
  <c r="C41" i="1"/>
  <c r="D41" i="1"/>
  <c r="E41" i="1"/>
  <c r="G41" i="1"/>
  <c r="H41" i="1"/>
  <c r="C42" i="1"/>
  <c r="D42" i="1"/>
  <c r="E42" i="1"/>
  <c r="G42" i="1"/>
  <c r="H42" i="1"/>
  <c r="C43" i="1"/>
  <c r="D43" i="1"/>
  <c r="E43" i="1"/>
  <c r="G43" i="1"/>
  <c r="H43" i="1"/>
  <c r="C44" i="1"/>
  <c r="D44" i="1"/>
  <c r="E44" i="1"/>
  <c r="G44" i="1"/>
  <c r="H44" i="1"/>
  <c r="C45" i="1"/>
  <c r="D45" i="1"/>
  <c r="E45" i="1"/>
  <c r="G45" i="1"/>
  <c r="H45" i="1"/>
  <c r="C46" i="1"/>
  <c r="D46" i="1"/>
  <c r="E46" i="1"/>
  <c r="G46" i="1"/>
  <c r="H46" i="1"/>
  <c r="C47" i="1"/>
  <c r="D47" i="1"/>
  <c r="E47" i="1"/>
  <c r="G47" i="1"/>
  <c r="H47" i="1"/>
  <c r="H13" i="1"/>
  <c r="C48" i="1"/>
  <c r="D48" i="1"/>
  <c r="E48" i="1"/>
</calcChain>
</file>

<file path=xl/sharedStrings.xml><?xml version="1.0" encoding="utf-8"?>
<sst xmlns="http://schemas.openxmlformats.org/spreadsheetml/2006/main" count="44" uniqueCount="40">
  <si>
    <t>n  (Number)</t>
  </si>
  <si>
    <t>1 inch = 0.0254 metre</t>
  </si>
  <si>
    <t xml:space="preserve"> (Unloaded) </t>
  </si>
  <si>
    <t>Incremental work = calculated using trapezoidal rule</t>
  </si>
  <si>
    <t xml:space="preserve">Range from Offset (inch) </t>
  </si>
  <si>
    <t>Offset (inch)</t>
  </si>
  <si>
    <t>26 inch</t>
  </si>
  <si>
    <t xml:space="preserve">Total Range R (inch) </t>
  </si>
  <si>
    <t>(velocity of launch)^2 = (g*R^2)/(2H)</t>
  </si>
  <si>
    <t>Range R (metre)</t>
  </si>
  <si>
    <t>Joule</t>
  </si>
  <si>
    <t>Median</t>
  </si>
  <si>
    <t>Extenstion of rubber band = 2 inch</t>
  </si>
  <si>
    <t>KE of matchstick = 0.5*(Mass of matchstick)*(Velocity of launch)^2</t>
  </si>
  <si>
    <t>Potential Energy stored in rubber band for 2 inch extension ( Joule )</t>
  </si>
  <si>
    <t>Mass of matchstick (kg)</t>
  </si>
  <si>
    <t>Acceleration due to gravity, g (m/sec^2)</t>
  </si>
  <si>
    <t>Height, H (metre)</t>
  </si>
  <si>
    <t>KE of matchstick/PE stored in rubber band</t>
  </si>
  <si>
    <t>Number of coins per additional loading, P</t>
  </si>
  <si>
    <t>Mass of each coin = Mass of United States Quarter, M (kg)</t>
  </si>
  <si>
    <t>Mass = n*P*M</t>
  </si>
  <si>
    <t>(Kg)</t>
  </si>
  <si>
    <t>(inch)</t>
  </si>
  <si>
    <t>Reading from ruler</t>
  </si>
  <si>
    <t xml:space="preserve">Extension, d =   Y-Y0 </t>
  </si>
  <si>
    <t>(metre)</t>
  </si>
  <si>
    <t xml:space="preserve">d  </t>
  </si>
  <si>
    <t xml:space="preserve">Force = Mass * g </t>
  </si>
  <si>
    <t>(Newton)</t>
  </si>
  <si>
    <t>(Joule)</t>
  </si>
  <si>
    <t>Mechanical work done in each increment</t>
  </si>
  <si>
    <t>Cumulative Work done</t>
  </si>
  <si>
    <t>Projectile Launch</t>
  </si>
  <si>
    <t>Tensile test of rubber band</t>
  </si>
  <si>
    <t>MIT Blossoms lesson</t>
  </si>
  <si>
    <t>on</t>
  </si>
  <si>
    <r>
      <t xml:space="preserve"> </t>
    </r>
    <r>
      <rPr>
        <b/>
        <u/>
        <sz val="30"/>
        <color rgb="FF000000"/>
        <rFont val="Calibri Light"/>
        <family val="2"/>
      </rPr>
      <t>Data Analysis and Figures for Activities 2 and 3</t>
    </r>
  </si>
  <si>
    <t>Sourish Chakravarty, 
sourish.chakravarty@gmail.com</t>
  </si>
  <si>
    <t>“Elasticity: Study how solids changing shape and size”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</si>
</sst>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0"/>
      <color rgb="FF000000"/>
      <name val="Calibri Light"/>
      <family val="2"/>
    </font>
    <font>
      <b/>
      <u/>
      <sz val="30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0" fontId="6" fillId="0" borderId="0" xfId="1" applyAlignment="1">
      <alignment horizontal="center" vertical="center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</a:t>
            </a:r>
            <a:r>
              <a:rPr lang="en-US" baseline="0"/>
              <a:t> vs. Deformation plot for rubber band tensile test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'Activity 2 '!$E$12:$E$47</c:f>
              <c:numCache>
                <c:formatCode>0.0000</c:formatCode>
                <c:ptCount val="36"/>
                <c:pt idx="0">
                  <c:v>0</c:v>
                </c:pt>
                <c:pt idx="1">
                  <c:v>3.1749999999999999E-3</c:v>
                </c:pt>
                <c:pt idx="2">
                  <c:v>3.1749999999999999E-3</c:v>
                </c:pt>
                <c:pt idx="3">
                  <c:v>6.3499999999999997E-3</c:v>
                </c:pt>
                <c:pt idx="4">
                  <c:v>6.3499999999999997E-3</c:v>
                </c:pt>
                <c:pt idx="5">
                  <c:v>9.5249999999999987E-3</c:v>
                </c:pt>
                <c:pt idx="6">
                  <c:v>9.5249999999999987E-3</c:v>
                </c:pt>
                <c:pt idx="7">
                  <c:v>1.2699999999999999E-2</c:v>
                </c:pt>
                <c:pt idx="8">
                  <c:v>1.2699999999999999E-2</c:v>
                </c:pt>
                <c:pt idx="9">
                  <c:v>1.5875E-2</c:v>
                </c:pt>
                <c:pt idx="10">
                  <c:v>1.9049999999999997E-2</c:v>
                </c:pt>
                <c:pt idx="11">
                  <c:v>1.9049999999999997E-2</c:v>
                </c:pt>
                <c:pt idx="12">
                  <c:v>2.2224999999999998E-2</c:v>
                </c:pt>
                <c:pt idx="13">
                  <c:v>2.5399999999999999E-2</c:v>
                </c:pt>
                <c:pt idx="14">
                  <c:v>2.8575E-2</c:v>
                </c:pt>
                <c:pt idx="15">
                  <c:v>3.175E-2</c:v>
                </c:pt>
                <c:pt idx="16">
                  <c:v>3.4924999999999998E-2</c:v>
                </c:pt>
                <c:pt idx="17">
                  <c:v>3.8099999999999995E-2</c:v>
                </c:pt>
                <c:pt idx="18">
                  <c:v>4.1274999999999999E-2</c:v>
                </c:pt>
                <c:pt idx="19">
                  <c:v>4.4449999999999996E-2</c:v>
                </c:pt>
                <c:pt idx="20">
                  <c:v>4.7625000000000001E-2</c:v>
                </c:pt>
                <c:pt idx="21">
                  <c:v>5.0799999999999998E-2</c:v>
                </c:pt>
                <c:pt idx="22">
                  <c:v>5.7149999999999999E-2</c:v>
                </c:pt>
                <c:pt idx="23">
                  <c:v>6.3500000000000001E-2</c:v>
                </c:pt>
                <c:pt idx="24">
                  <c:v>6.6674999999999998E-2</c:v>
                </c:pt>
                <c:pt idx="25">
                  <c:v>7.619999999999999E-2</c:v>
                </c:pt>
                <c:pt idx="26">
                  <c:v>8.2549999999999998E-2</c:v>
                </c:pt>
                <c:pt idx="27">
                  <c:v>8.8899999999999993E-2</c:v>
                </c:pt>
                <c:pt idx="28">
                  <c:v>9.5250000000000001E-2</c:v>
                </c:pt>
                <c:pt idx="29">
                  <c:v>0.1016</c:v>
                </c:pt>
                <c:pt idx="30">
                  <c:v>0.10794999999999999</c:v>
                </c:pt>
                <c:pt idx="31">
                  <c:v>0.1143</c:v>
                </c:pt>
                <c:pt idx="32">
                  <c:v>0.12064999999999999</c:v>
                </c:pt>
                <c:pt idx="33">
                  <c:v>0.127</c:v>
                </c:pt>
                <c:pt idx="34">
                  <c:v>0.13335</c:v>
                </c:pt>
                <c:pt idx="35">
                  <c:v>0.13969999999999999</c:v>
                </c:pt>
              </c:numCache>
            </c:numRef>
          </c:xVal>
          <c:yVal>
            <c:numRef>
              <c:f>'Activity 2 '!$F$12:$F$47</c:f>
              <c:numCache>
                <c:formatCode>0.0000</c:formatCode>
                <c:ptCount val="36"/>
                <c:pt idx="0">
                  <c:v>0</c:v>
                </c:pt>
                <c:pt idx="1">
                  <c:v>0.22249079999999999</c:v>
                </c:pt>
                <c:pt idx="2">
                  <c:v>0.44498159999999998</c:v>
                </c:pt>
                <c:pt idx="3">
                  <c:v>0.66747239999999997</c:v>
                </c:pt>
                <c:pt idx="4">
                  <c:v>0.88996319999999995</c:v>
                </c:pt>
                <c:pt idx="5">
                  <c:v>1.1124540000000001</c:v>
                </c:pt>
                <c:pt idx="6">
                  <c:v>1.3349447999999999</c:v>
                </c:pt>
                <c:pt idx="7">
                  <c:v>1.5574356</c:v>
                </c:pt>
                <c:pt idx="8">
                  <c:v>1.7799263999999999</c:v>
                </c:pt>
                <c:pt idx="9">
                  <c:v>2.0024172</c:v>
                </c:pt>
                <c:pt idx="10">
                  <c:v>2.2249080000000001</c:v>
                </c:pt>
                <c:pt idx="11">
                  <c:v>2.4473987999999998</c:v>
                </c:pt>
                <c:pt idx="12">
                  <c:v>2.6698895999999999</c:v>
                </c:pt>
                <c:pt idx="13">
                  <c:v>2.8923804</c:v>
                </c:pt>
                <c:pt idx="14">
                  <c:v>3.1148712000000001</c:v>
                </c:pt>
                <c:pt idx="15">
                  <c:v>3.3373620000000002</c:v>
                </c:pt>
                <c:pt idx="16">
                  <c:v>3.5598527999999998</c:v>
                </c:pt>
                <c:pt idx="17">
                  <c:v>3.7823435999999999</c:v>
                </c:pt>
                <c:pt idx="18">
                  <c:v>4.0048344</c:v>
                </c:pt>
                <c:pt idx="19">
                  <c:v>4.2273252000000001</c:v>
                </c:pt>
                <c:pt idx="20">
                  <c:v>4.4498160000000002</c:v>
                </c:pt>
                <c:pt idx="21">
                  <c:v>4.6723068000000003</c:v>
                </c:pt>
                <c:pt idx="22">
                  <c:v>4.8947975999999995</c:v>
                </c:pt>
                <c:pt idx="23">
                  <c:v>5.1172884000000005</c:v>
                </c:pt>
                <c:pt idx="24">
                  <c:v>5.3397791999999997</c:v>
                </c:pt>
                <c:pt idx="25">
                  <c:v>5.5622699999999998</c:v>
                </c:pt>
                <c:pt idx="26">
                  <c:v>5.7847607999999999</c:v>
                </c:pt>
                <c:pt idx="27">
                  <c:v>6.0072516</c:v>
                </c:pt>
                <c:pt idx="28">
                  <c:v>6.2297424000000001</c:v>
                </c:pt>
                <c:pt idx="29">
                  <c:v>6.4522332000000002</c:v>
                </c:pt>
                <c:pt idx="30">
                  <c:v>6.6747240000000003</c:v>
                </c:pt>
                <c:pt idx="31">
                  <c:v>6.8972147999999995</c:v>
                </c:pt>
                <c:pt idx="32">
                  <c:v>7.1197055999999996</c:v>
                </c:pt>
                <c:pt idx="33">
                  <c:v>7.3421964000000006</c:v>
                </c:pt>
                <c:pt idx="34">
                  <c:v>7.5646871999999998</c:v>
                </c:pt>
                <c:pt idx="35">
                  <c:v>7.7871779999999999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54-4D26-A75E-E44EDA71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18608"/>
        <c:axId val="433318936"/>
      </c:scatterChart>
      <c:valAx>
        <c:axId val="43331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18936"/>
        <c:crosses val="autoZero"/>
        <c:crossBetween val="midCat"/>
      </c:valAx>
      <c:valAx>
        <c:axId val="433318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579120</xdr:colOff>
      <xdr:row>7</xdr:row>
      <xdr:rowOff>64770</xdr:rowOff>
    </xdr:from>
    <xdr:to>
      <xdr:col>20</xdr:col>
      <xdr:colOff>0</xdr:colOff>
      <xdr:row>26</xdr:row>
      <xdr:rowOff>64770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XFD1"/>
    </sheetView>
  </sheetViews>
  <sheetFormatPr defaultRowHeight="14.4" x14ac:dyDescent="0.3"/>
  <cols>
    <col min="1" max="1" width="38.5546875" style="2" customWidth="1"/>
    <col min="2" max="2" width="20.88671875" style="2" customWidth="1"/>
    <col min="3" max="3" width="21.6640625" style="2" customWidth="1"/>
    <col min="4" max="4" width="14.88671875" style="2" customWidth="1"/>
    <col min="5" max="5" width="13.5546875" style="2" customWidth="1"/>
    <col min="6" max="6" width="27" style="2" customWidth="1"/>
    <col min="7" max="7" width="23.6640625" style="2" customWidth="1"/>
    <col min="8" max="8" width="20.77734375" style="2" customWidth="1"/>
    <col min="9" max="16384" width="8.88671875" style="2"/>
  </cols>
  <sheetData>
    <row r="1" spans="1:8" s="11" customFormat="1" x14ac:dyDescent="0.3">
      <c r="A1" s="11" t="s">
        <v>34</v>
      </c>
    </row>
    <row r="4" spans="1:8" x14ac:dyDescent="0.3">
      <c r="A4" s="2" t="s">
        <v>19</v>
      </c>
      <c r="C4" s="4">
        <v>4</v>
      </c>
    </row>
    <row r="5" spans="1:8" x14ac:dyDescent="0.3">
      <c r="A5" s="2" t="s">
        <v>20</v>
      </c>
      <c r="C5" s="2">
        <f>5.67/1000</f>
        <v>5.6699999999999997E-3</v>
      </c>
    </row>
    <row r="6" spans="1:8" x14ac:dyDescent="0.3">
      <c r="A6" s="2" t="s">
        <v>16</v>
      </c>
      <c r="C6" s="6">
        <v>9.81</v>
      </c>
    </row>
    <row r="7" spans="1:8" x14ac:dyDescent="0.3">
      <c r="A7" s="2" t="s">
        <v>1</v>
      </c>
    </row>
    <row r="8" spans="1:8" x14ac:dyDescent="0.3">
      <c r="A8" s="2" t="s">
        <v>3</v>
      </c>
    </row>
    <row r="10" spans="1:8" s="9" customFormat="1" ht="51.6" customHeight="1" x14ac:dyDescent="0.3">
      <c r="A10" s="9" t="s">
        <v>0</v>
      </c>
      <c r="B10" s="9" t="s">
        <v>21</v>
      </c>
      <c r="C10" s="9" t="s">
        <v>24</v>
      </c>
      <c r="D10" s="9" t="s">
        <v>25</v>
      </c>
      <c r="E10" s="9" t="s">
        <v>27</v>
      </c>
      <c r="F10" s="9" t="s">
        <v>28</v>
      </c>
      <c r="G10" s="9" t="s">
        <v>31</v>
      </c>
      <c r="H10" s="9" t="s">
        <v>32</v>
      </c>
    </row>
    <row r="11" spans="1:8" s="9" customFormat="1" ht="16.8" customHeight="1" x14ac:dyDescent="0.3">
      <c r="B11" s="9" t="s">
        <v>22</v>
      </c>
      <c r="C11" s="9" t="s">
        <v>23</v>
      </c>
      <c r="D11" s="9" t="s">
        <v>23</v>
      </c>
      <c r="E11" s="9" t="s">
        <v>26</v>
      </c>
      <c r="F11" s="9" t="s">
        <v>29</v>
      </c>
      <c r="G11" s="9" t="s">
        <v>30</v>
      </c>
      <c r="H11" s="9" t="s">
        <v>30</v>
      </c>
    </row>
    <row r="12" spans="1:8" x14ac:dyDescent="0.3">
      <c r="A12" s="4">
        <v>0</v>
      </c>
      <c r="B12" s="2">
        <f>A12*$C$4*$C$5</f>
        <v>0</v>
      </c>
      <c r="C12" s="2">
        <f>9+1/8</f>
        <v>9.125</v>
      </c>
      <c r="D12" s="2">
        <f>C12-9.125</f>
        <v>0</v>
      </c>
      <c r="E12" s="2">
        <f>D12*0.0254</f>
        <v>0</v>
      </c>
      <c r="F12" s="2">
        <f>B12*$C$6</f>
        <v>0</v>
      </c>
      <c r="G12" s="2">
        <v>0</v>
      </c>
      <c r="H12" s="2">
        <v>0</v>
      </c>
    </row>
    <row r="13" spans="1:8" x14ac:dyDescent="0.3">
      <c r="A13" s="4">
        <v>1</v>
      </c>
      <c r="B13" s="2">
        <f t="shared" ref="B13:B47" si="0">A13*$C$4*$C$5</f>
        <v>2.2679999999999999E-2</v>
      </c>
      <c r="C13" s="2">
        <f>9+2/8</f>
        <v>9.25</v>
      </c>
      <c r="D13" s="2">
        <f t="shared" ref="D13:D48" si="1">C13-9.125</f>
        <v>0.125</v>
      </c>
      <c r="E13" s="2">
        <f t="shared" ref="E13:E48" si="2">D13*0.0254</f>
        <v>3.1749999999999999E-3</v>
      </c>
      <c r="F13" s="2">
        <f t="shared" ref="F13:F48" si="3">B13*$C$6</f>
        <v>0.22249079999999999</v>
      </c>
      <c r="G13" s="2">
        <f>(E13-E12)*(F13+F12)/2</f>
        <v>3.5320414499999999E-4</v>
      </c>
      <c r="H13" s="2">
        <f>SUM($G$12:G13)</f>
        <v>3.5320414499999999E-4</v>
      </c>
    </row>
    <row r="14" spans="1:8" x14ac:dyDescent="0.3">
      <c r="A14" s="4">
        <v>2</v>
      </c>
      <c r="B14" s="2">
        <f t="shared" si="0"/>
        <v>4.5359999999999998E-2</v>
      </c>
      <c r="C14" s="2">
        <f>9+2/8</f>
        <v>9.25</v>
      </c>
      <c r="D14" s="2">
        <f t="shared" si="1"/>
        <v>0.125</v>
      </c>
      <c r="E14" s="2">
        <f t="shared" si="2"/>
        <v>3.1749999999999999E-3</v>
      </c>
      <c r="F14" s="2">
        <f t="shared" si="3"/>
        <v>0.44498159999999998</v>
      </c>
      <c r="G14" s="2">
        <f t="shared" ref="G14:G47" si="4">(E14-E13)*(F14+F13)/2</f>
        <v>0</v>
      </c>
      <c r="H14" s="2">
        <f>SUM($G$12:G14)</f>
        <v>3.5320414499999999E-4</v>
      </c>
    </row>
    <row r="15" spans="1:8" x14ac:dyDescent="0.3">
      <c r="A15" s="4">
        <v>3</v>
      </c>
      <c r="B15" s="2">
        <f t="shared" si="0"/>
        <v>6.8039999999999989E-2</v>
      </c>
      <c r="C15" s="2">
        <f>9+3/8</f>
        <v>9.375</v>
      </c>
      <c r="D15" s="2">
        <f t="shared" si="1"/>
        <v>0.25</v>
      </c>
      <c r="E15" s="2">
        <f t="shared" si="2"/>
        <v>6.3499999999999997E-3</v>
      </c>
      <c r="F15" s="2">
        <f t="shared" si="3"/>
        <v>0.66747239999999997</v>
      </c>
      <c r="G15" s="2">
        <f t="shared" si="4"/>
        <v>1.766020725E-3</v>
      </c>
      <c r="H15" s="2">
        <f>SUM($G$12:G15)</f>
        <v>2.1192248699999998E-3</v>
      </c>
    </row>
    <row r="16" spans="1:8" x14ac:dyDescent="0.3">
      <c r="A16" s="4">
        <v>4</v>
      </c>
      <c r="B16" s="2">
        <f t="shared" si="0"/>
        <v>9.0719999999999995E-2</v>
      </c>
      <c r="C16" s="2">
        <f>9+3/8</f>
        <v>9.375</v>
      </c>
      <c r="D16" s="2">
        <f t="shared" si="1"/>
        <v>0.25</v>
      </c>
      <c r="E16" s="2">
        <f t="shared" si="2"/>
        <v>6.3499999999999997E-3</v>
      </c>
      <c r="F16" s="2">
        <f t="shared" si="3"/>
        <v>0.88996319999999995</v>
      </c>
      <c r="G16" s="2">
        <f t="shared" si="4"/>
        <v>0</v>
      </c>
      <c r="H16" s="2">
        <f>SUM($G$12:G16)</f>
        <v>2.1192248699999998E-3</v>
      </c>
    </row>
    <row r="17" spans="1:8" x14ac:dyDescent="0.3">
      <c r="A17" s="4">
        <v>5</v>
      </c>
      <c r="B17" s="2">
        <f t="shared" si="0"/>
        <v>0.1134</v>
      </c>
      <c r="C17" s="2">
        <f>9+4/8</f>
        <v>9.5</v>
      </c>
      <c r="D17" s="2">
        <f t="shared" si="1"/>
        <v>0.375</v>
      </c>
      <c r="E17" s="2">
        <f t="shared" si="2"/>
        <v>9.5249999999999987E-3</v>
      </c>
      <c r="F17" s="2">
        <f t="shared" si="3"/>
        <v>1.1124540000000001</v>
      </c>
      <c r="G17" s="2">
        <f t="shared" si="4"/>
        <v>3.1788373049999991E-3</v>
      </c>
      <c r="H17" s="2">
        <f>SUM($G$12:G17)</f>
        <v>5.298062174999999E-3</v>
      </c>
    </row>
    <row r="18" spans="1:8" x14ac:dyDescent="0.3">
      <c r="A18" s="4">
        <v>6</v>
      </c>
      <c r="B18" s="2">
        <f t="shared" si="0"/>
        <v>0.13607999999999998</v>
      </c>
      <c r="C18" s="2">
        <f>9+4/8</f>
        <v>9.5</v>
      </c>
      <c r="D18" s="2">
        <f t="shared" si="1"/>
        <v>0.375</v>
      </c>
      <c r="E18" s="2">
        <f t="shared" si="2"/>
        <v>9.5249999999999987E-3</v>
      </c>
      <c r="F18" s="2">
        <f t="shared" si="3"/>
        <v>1.3349447999999999</v>
      </c>
      <c r="G18" s="2">
        <f t="shared" si="4"/>
        <v>0</v>
      </c>
      <c r="H18" s="2">
        <f>SUM($G$12:G18)</f>
        <v>5.298062174999999E-3</v>
      </c>
    </row>
    <row r="19" spans="1:8" x14ac:dyDescent="0.3">
      <c r="A19" s="4">
        <v>7</v>
      </c>
      <c r="B19" s="2">
        <f t="shared" si="0"/>
        <v>0.15875999999999998</v>
      </c>
      <c r="C19" s="2">
        <f>9+5/8</f>
        <v>9.625</v>
      </c>
      <c r="D19" s="2">
        <f t="shared" si="1"/>
        <v>0.5</v>
      </c>
      <c r="E19" s="2">
        <f t="shared" si="2"/>
        <v>1.2699999999999999E-2</v>
      </c>
      <c r="F19" s="2">
        <f t="shared" si="3"/>
        <v>1.5574356</v>
      </c>
      <c r="G19" s="2">
        <f t="shared" si="4"/>
        <v>4.5916538850000006E-3</v>
      </c>
      <c r="H19" s="2">
        <f>SUM($G$12:G19)</f>
        <v>9.8897160599999995E-3</v>
      </c>
    </row>
    <row r="20" spans="1:8" x14ac:dyDescent="0.3">
      <c r="A20" s="4">
        <v>8</v>
      </c>
      <c r="B20" s="2">
        <f t="shared" si="0"/>
        <v>0.18143999999999999</v>
      </c>
      <c r="C20" s="2">
        <f>9+5/8</f>
        <v>9.625</v>
      </c>
      <c r="D20" s="2">
        <f t="shared" si="1"/>
        <v>0.5</v>
      </c>
      <c r="E20" s="2">
        <f t="shared" si="2"/>
        <v>1.2699999999999999E-2</v>
      </c>
      <c r="F20" s="2">
        <f t="shared" si="3"/>
        <v>1.7799263999999999</v>
      </c>
      <c r="G20" s="2">
        <f t="shared" si="4"/>
        <v>0</v>
      </c>
      <c r="H20" s="2">
        <f>SUM($G$12:G20)</f>
        <v>9.8897160599999995E-3</v>
      </c>
    </row>
    <row r="21" spans="1:8" x14ac:dyDescent="0.3">
      <c r="A21" s="4">
        <v>9</v>
      </c>
      <c r="B21" s="2">
        <f t="shared" si="0"/>
        <v>0.20412</v>
      </c>
      <c r="C21" s="2">
        <f>9+6/8</f>
        <v>9.75</v>
      </c>
      <c r="D21" s="2">
        <f t="shared" si="1"/>
        <v>0.625</v>
      </c>
      <c r="E21" s="2">
        <f t="shared" si="2"/>
        <v>1.5875E-2</v>
      </c>
      <c r="F21" s="2">
        <f t="shared" si="3"/>
        <v>2.0024172</v>
      </c>
      <c r="G21" s="2">
        <f t="shared" si="4"/>
        <v>6.0044704650000016E-3</v>
      </c>
      <c r="H21" s="2">
        <f>SUM($G$12:G21)</f>
        <v>1.5894186524999999E-2</v>
      </c>
    </row>
    <row r="22" spans="1:8" x14ac:dyDescent="0.3">
      <c r="A22" s="4">
        <v>10</v>
      </c>
      <c r="B22" s="2">
        <f t="shared" si="0"/>
        <v>0.2268</v>
      </c>
      <c r="C22" s="2">
        <f>9+7/8</f>
        <v>9.875</v>
      </c>
      <c r="D22" s="2">
        <f t="shared" si="1"/>
        <v>0.75</v>
      </c>
      <c r="E22" s="2">
        <f t="shared" si="2"/>
        <v>1.9049999999999997E-2</v>
      </c>
      <c r="F22" s="2">
        <f t="shared" si="3"/>
        <v>2.2249080000000001</v>
      </c>
      <c r="G22" s="2">
        <f t="shared" si="4"/>
        <v>6.7108787549999948E-3</v>
      </c>
      <c r="H22" s="2">
        <f>SUM($G$12:G22)</f>
        <v>2.2605065279999996E-2</v>
      </c>
    </row>
    <row r="23" spans="1:8" x14ac:dyDescent="0.3">
      <c r="A23" s="4">
        <v>11</v>
      </c>
      <c r="B23" s="2">
        <f t="shared" si="0"/>
        <v>0.24947999999999998</v>
      </c>
      <c r="C23" s="2">
        <f>9+7/8</f>
        <v>9.875</v>
      </c>
      <c r="D23" s="2">
        <f t="shared" si="1"/>
        <v>0.75</v>
      </c>
      <c r="E23" s="2">
        <f t="shared" si="2"/>
        <v>1.9049999999999997E-2</v>
      </c>
      <c r="F23" s="2">
        <f t="shared" si="3"/>
        <v>2.4473987999999998</v>
      </c>
      <c r="G23" s="2">
        <f t="shared" si="4"/>
        <v>0</v>
      </c>
      <c r="H23" s="2">
        <f>SUM($G$12:G23)</f>
        <v>2.2605065279999996E-2</v>
      </c>
    </row>
    <row r="24" spans="1:8" x14ac:dyDescent="0.3">
      <c r="A24" s="4">
        <v>12</v>
      </c>
      <c r="B24" s="2">
        <f t="shared" si="0"/>
        <v>0.27215999999999996</v>
      </c>
      <c r="C24" s="2">
        <v>10</v>
      </c>
      <c r="D24" s="2">
        <f t="shared" si="1"/>
        <v>0.875</v>
      </c>
      <c r="E24" s="2">
        <f t="shared" si="2"/>
        <v>2.2224999999999998E-2</v>
      </c>
      <c r="F24" s="2">
        <f t="shared" si="3"/>
        <v>2.6698895999999999</v>
      </c>
      <c r="G24" s="2">
        <f t="shared" si="4"/>
        <v>8.1236953350000019E-3</v>
      </c>
      <c r="H24" s="2">
        <f>SUM($G$12:G24)</f>
        <v>3.0728760614999996E-2</v>
      </c>
    </row>
    <row r="25" spans="1:8" x14ac:dyDescent="0.3">
      <c r="A25" s="4">
        <v>13</v>
      </c>
      <c r="B25" s="2">
        <f t="shared" si="0"/>
        <v>0.29483999999999999</v>
      </c>
      <c r="C25" s="2">
        <f>10+1/8</f>
        <v>10.125</v>
      </c>
      <c r="D25" s="2">
        <f t="shared" si="1"/>
        <v>1</v>
      </c>
      <c r="E25" s="2">
        <f t="shared" si="2"/>
        <v>2.5399999999999999E-2</v>
      </c>
      <c r="F25" s="2">
        <f t="shared" si="3"/>
        <v>2.8923804</v>
      </c>
      <c r="G25" s="2">
        <f t="shared" si="4"/>
        <v>8.830103625000002E-3</v>
      </c>
      <c r="H25" s="2">
        <f>SUM($G$12:G25)</f>
        <v>3.9558864239999998E-2</v>
      </c>
    </row>
    <row r="26" spans="1:8" x14ac:dyDescent="0.3">
      <c r="A26" s="4">
        <v>14</v>
      </c>
      <c r="B26" s="2">
        <f t="shared" si="0"/>
        <v>0.31751999999999997</v>
      </c>
      <c r="C26" s="2">
        <f>10+2/8</f>
        <v>10.25</v>
      </c>
      <c r="D26" s="2">
        <f t="shared" si="1"/>
        <v>1.125</v>
      </c>
      <c r="E26" s="2">
        <f t="shared" si="2"/>
        <v>2.8575E-2</v>
      </c>
      <c r="F26" s="2">
        <f t="shared" si="3"/>
        <v>3.1148712000000001</v>
      </c>
      <c r="G26" s="2">
        <f t="shared" si="4"/>
        <v>9.5365119150000021E-3</v>
      </c>
      <c r="H26" s="2">
        <f>SUM($G$12:G26)</f>
        <v>4.9095376155000002E-2</v>
      </c>
    </row>
    <row r="27" spans="1:8" x14ac:dyDescent="0.3">
      <c r="A27" s="4">
        <v>15</v>
      </c>
      <c r="B27" s="2">
        <f t="shared" si="0"/>
        <v>0.3402</v>
      </c>
      <c r="C27" s="2">
        <f>10+3/8</f>
        <v>10.375</v>
      </c>
      <c r="D27" s="2">
        <f t="shared" si="1"/>
        <v>1.25</v>
      </c>
      <c r="E27" s="2">
        <f t="shared" si="2"/>
        <v>3.175E-2</v>
      </c>
      <c r="F27" s="2">
        <f t="shared" si="3"/>
        <v>3.3373620000000002</v>
      </c>
      <c r="G27" s="2">
        <f t="shared" si="4"/>
        <v>1.0242920205000002E-2</v>
      </c>
      <c r="H27" s="2">
        <f>SUM($G$12:G27)</f>
        <v>5.9338296360000001E-2</v>
      </c>
    </row>
    <row r="28" spans="1:8" x14ac:dyDescent="0.3">
      <c r="A28" s="4">
        <v>16</v>
      </c>
      <c r="B28" s="2">
        <f t="shared" si="0"/>
        <v>0.36287999999999998</v>
      </c>
      <c r="C28" s="2">
        <f>10+4/8</f>
        <v>10.5</v>
      </c>
      <c r="D28" s="2">
        <f t="shared" si="1"/>
        <v>1.375</v>
      </c>
      <c r="E28" s="2">
        <f t="shared" si="2"/>
        <v>3.4924999999999998E-2</v>
      </c>
      <c r="F28" s="2">
        <f t="shared" si="3"/>
        <v>3.5598527999999998</v>
      </c>
      <c r="G28" s="2">
        <f t="shared" si="4"/>
        <v>1.0949328494999992E-2</v>
      </c>
      <c r="H28" s="2">
        <f>SUM($G$12:G28)</f>
        <v>7.0287624854999994E-2</v>
      </c>
    </row>
    <row r="29" spans="1:8" x14ac:dyDescent="0.3">
      <c r="A29" s="4">
        <v>17</v>
      </c>
      <c r="B29" s="2">
        <f t="shared" si="0"/>
        <v>0.38555999999999996</v>
      </c>
      <c r="C29" s="2">
        <f>10+5/8</f>
        <v>10.625</v>
      </c>
      <c r="D29" s="2">
        <f t="shared" si="1"/>
        <v>1.5</v>
      </c>
      <c r="E29" s="2">
        <f t="shared" si="2"/>
        <v>3.8099999999999995E-2</v>
      </c>
      <c r="F29" s="2">
        <f t="shared" si="3"/>
        <v>3.7823435999999999</v>
      </c>
      <c r="G29" s="2">
        <f t="shared" si="4"/>
        <v>1.165573678499999E-2</v>
      </c>
      <c r="H29" s="2">
        <f>SUM($G$12:G29)</f>
        <v>8.194336163999999E-2</v>
      </c>
    </row>
    <row r="30" spans="1:8" x14ac:dyDescent="0.3">
      <c r="A30" s="4">
        <v>18</v>
      </c>
      <c r="B30" s="2">
        <f t="shared" si="0"/>
        <v>0.40823999999999999</v>
      </c>
      <c r="C30" s="2">
        <f>10+6/8</f>
        <v>10.75</v>
      </c>
      <c r="D30" s="2">
        <f t="shared" si="1"/>
        <v>1.625</v>
      </c>
      <c r="E30" s="2">
        <f t="shared" si="2"/>
        <v>4.1274999999999999E-2</v>
      </c>
      <c r="F30" s="2">
        <f t="shared" si="3"/>
        <v>4.0048344</v>
      </c>
      <c r="G30" s="2">
        <f t="shared" si="4"/>
        <v>1.2362145075000016E-2</v>
      </c>
      <c r="H30" s="2">
        <f>SUM($G$12:G30)</f>
        <v>9.4305506715000001E-2</v>
      </c>
    </row>
    <row r="31" spans="1:8" x14ac:dyDescent="0.3">
      <c r="A31" s="4">
        <v>19</v>
      </c>
      <c r="B31" s="2">
        <f t="shared" si="0"/>
        <v>0.43091999999999997</v>
      </c>
      <c r="C31" s="2">
        <f>10+7/8</f>
        <v>10.875</v>
      </c>
      <c r="D31" s="2">
        <f t="shared" si="1"/>
        <v>1.75</v>
      </c>
      <c r="E31" s="2">
        <f t="shared" si="2"/>
        <v>4.4449999999999996E-2</v>
      </c>
      <c r="F31" s="2">
        <f t="shared" si="3"/>
        <v>4.2273252000000001</v>
      </c>
      <c r="G31" s="2">
        <f t="shared" si="4"/>
        <v>1.3068553364999987E-2</v>
      </c>
      <c r="H31" s="2">
        <f>SUM($G$12:G31)</f>
        <v>0.10737406007999999</v>
      </c>
    </row>
    <row r="32" spans="1:8" x14ac:dyDescent="0.3">
      <c r="A32" s="4">
        <v>20</v>
      </c>
      <c r="B32" s="2">
        <f t="shared" si="0"/>
        <v>0.4536</v>
      </c>
      <c r="C32" s="2">
        <v>11</v>
      </c>
      <c r="D32" s="2">
        <f t="shared" si="1"/>
        <v>1.875</v>
      </c>
      <c r="E32" s="2">
        <f t="shared" si="2"/>
        <v>4.7625000000000001E-2</v>
      </c>
      <c r="F32" s="2">
        <f t="shared" si="3"/>
        <v>4.4498160000000002</v>
      </c>
      <c r="G32" s="2">
        <f t="shared" si="4"/>
        <v>1.377496165500002E-2</v>
      </c>
      <c r="H32" s="2">
        <f>SUM($G$12:G32)</f>
        <v>0.121149021735</v>
      </c>
    </row>
    <row r="33" spans="1:8" s="3" customFormat="1" x14ac:dyDescent="0.3">
      <c r="A33" s="5">
        <v>21</v>
      </c>
      <c r="B33" s="3">
        <f t="shared" si="0"/>
        <v>0.47627999999999998</v>
      </c>
      <c r="C33" s="3">
        <f>11+1/8</f>
        <v>11.125</v>
      </c>
      <c r="D33" s="3">
        <f t="shared" si="1"/>
        <v>2</v>
      </c>
      <c r="E33" s="3">
        <f t="shared" si="2"/>
        <v>5.0799999999999998E-2</v>
      </c>
      <c r="F33" s="3">
        <f t="shared" si="3"/>
        <v>4.6723068000000003</v>
      </c>
      <c r="G33" s="3">
        <f t="shared" si="4"/>
        <v>1.4481369944999987E-2</v>
      </c>
      <c r="H33" s="3">
        <f>SUM($G$12:G33)</f>
        <v>0.13563039167999999</v>
      </c>
    </row>
    <row r="34" spans="1:8" x14ac:dyDescent="0.3">
      <c r="A34" s="4">
        <v>22</v>
      </c>
      <c r="B34" s="2">
        <f t="shared" si="0"/>
        <v>0.49895999999999996</v>
      </c>
      <c r="C34" s="2">
        <f>11+3/8</f>
        <v>11.375</v>
      </c>
      <c r="D34" s="2">
        <f t="shared" si="1"/>
        <v>2.25</v>
      </c>
      <c r="E34" s="2">
        <f t="shared" si="2"/>
        <v>5.7149999999999999E-2</v>
      </c>
      <c r="F34" s="2">
        <f t="shared" si="3"/>
        <v>4.8947975999999995</v>
      </c>
      <c r="G34" s="2">
        <f t="shared" si="4"/>
        <v>3.0375556470000006E-2</v>
      </c>
      <c r="H34" s="2">
        <f>SUM($G$12:G34)</f>
        <v>0.16600594815</v>
      </c>
    </row>
    <row r="35" spans="1:8" x14ac:dyDescent="0.3">
      <c r="A35" s="4">
        <v>23</v>
      </c>
      <c r="B35" s="2">
        <f t="shared" si="0"/>
        <v>0.52163999999999999</v>
      </c>
      <c r="C35" s="2">
        <f>11+5/8</f>
        <v>11.625</v>
      </c>
      <c r="D35" s="2">
        <f t="shared" si="1"/>
        <v>2.5</v>
      </c>
      <c r="E35" s="2">
        <f t="shared" si="2"/>
        <v>6.3500000000000001E-2</v>
      </c>
      <c r="F35" s="2">
        <f t="shared" si="3"/>
        <v>5.1172884000000005</v>
      </c>
      <c r="G35" s="2">
        <f t="shared" si="4"/>
        <v>3.1788373050000006E-2</v>
      </c>
      <c r="H35" s="2">
        <f>SUM($G$12:G35)</f>
        <v>0.19779432120000001</v>
      </c>
    </row>
    <row r="36" spans="1:8" x14ac:dyDescent="0.3">
      <c r="A36" s="4">
        <v>24</v>
      </c>
      <c r="B36" s="2">
        <f t="shared" si="0"/>
        <v>0.54431999999999992</v>
      </c>
      <c r="C36" s="2">
        <f>11+6/8</f>
        <v>11.75</v>
      </c>
      <c r="D36" s="2">
        <f t="shared" si="1"/>
        <v>2.625</v>
      </c>
      <c r="E36" s="2">
        <f t="shared" si="2"/>
        <v>6.6674999999999998E-2</v>
      </c>
      <c r="F36" s="2">
        <f t="shared" si="3"/>
        <v>5.3397791999999997</v>
      </c>
      <c r="G36" s="2">
        <f t="shared" si="4"/>
        <v>1.6600594814999987E-2</v>
      </c>
      <c r="H36" s="2">
        <f>SUM($G$12:G36)</f>
        <v>0.21439491601499999</v>
      </c>
    </row>
    <row r="37" spans="1:8" x14ac:dyDescent="0.3">
      <c r="A37" s="4">
        <v>25</v>
      </c>
      <c r="B37" s="2">
        <f t="shared" si="0"/>
        <v>0.56699999999999995</v>
      </c>
      <c r="C37" s="2">
        <f>12+1/8</f>
        <v>12.125</v>
      </c>
      <c r="D37" s="2">
        <f t="shared" si="1"/>
        <v>3</v>
      </c>
      <c r="E37" s="2">
        <f t="shared" si="2"/>
        <v>7.619999999999999E-2</v>
      </c>
      <c r="F37" s="2">
        <f t="shared" si="3"/>
        <v>5.5622699999999998</v>
      </c>
      <c r="G37" s="2">
        <f t="shared" si="4"/>
        <v>5.1921009314999961E-2</v>
      </c>
      <c r="H37" s="2">
        <f>SUM($G$12:G37)</f>
        <v>0.26631592532999993</v>
      </c>
    </row>
    <row r="38" spans="1:8" x14ac:dyDescent="0.3">
      <c r="A38" s="4">
        <v>26</v>
      </c>
      <c r="B38" s="2">
        <f t="shared" si="0"/>
        <v>0.58967999999999998</v>
      </c>
      <c r="C38" s="2">
        <f>12+3/8</f>
        <v>12.375</v>
      </c>
      <c r="D38" s="2">
        <f t="shared" si="1"/>
        <v>3.25</v>
      </c>
      <c r="E38" s="2">
        <f t="shared" si="2"/>
        <v>8.2549999999999998E-2</v>
      </c>
      <c r="F38" s="2">
        <f t="shared" si="3"/>
        <v>5.7847607999999999</v>
      </c>
      <c r="G38" s="2">
        <f t="shared" si="4"/>
        <v>3.6026822790000045E-2</v>
      </c>
      <c r="H38" s="2">
        <f>SUM($G$12:G38)</f>
        <v>0.30234274811999995</v>
      </c>
    </row>
    <row r="39" spans="1:8" x14ac:dyDescent="0.3">
      <c r="A39" s="4">
        <v>27</v>
      </c>
      <c r="B39" s="2">
        <f t="shared" si="0"/>
        <v>0.61236000000000002</v>
      </c>
      <c r="C39" s="2">
        <f>12+5/8</f>
        <v>12.625</v>
      </c>
      <c r="D39" s="2">
        <f t="shared" si="1"/>
        <v>3.5</v>
      </c>
      <c r="E39" s="2">
        <f t="shared" si="2"/>
        <v>8.8899999999999993E-2</v>
      </c>
      <c r="F39" s="2">
        <f t="shared" si="3"/>
        <v>6.0072516</v>
      </c>
      <c r="G39" s="2">
        <f t="shared" si="4"/>
        <v>3.7439639369999972E-2</v>
      </c>
      <c r="H39" s="2">
        <f>SUM($G$12:G39)</f>
        <v>0.33978238748999989</v>
      </c>
    </row>
    <row r="40" spans="1:8" x14ac:dyDescent="0.3">
      <c r="A40" s="4">
        <v>28</v>
      </c>
      <c r="B40" s="2">
        <f t="shared" si="0"/>
        <v>0.63503999999999994</v>
      </c>
      <c r="C40" s="2">
        <f>12+7/8</f>
        <v>12.875</v>
      </c>
      <c r="D40" s="2">
        <f t="shared" si="1"/>
        <v>3.75</v>
      </c>
      <c r="E40" s="2">
        <f t="shared" si="2"/>
        <v>9.5250000000000001E-2</v>
      </c>
      <c r="F40" s="2">
        <f t="shared" si="3"/>
        <v>6.2297424000000001</v>
      </c>
      <c r="G40" s="2">
        <f t="shared" si="4"/>
        <v>3.8852455950000052E-2</v>
      </c>
      <c r="H40" s="2">
        <f>SUM($G$12:G40)</f>
        <v>0.37863484343999992</v>
      </c>
    </row>
    <row r="41" spans="1:8" x14ac:dyDescent="0.3">
      <c r="A41" s="4">
        <v>29</v>
      </c>
      <c r="B41" s="2">
        <f t="shared" si="0"/>
        <v>0.65771999999999997</v>
      </c>
      <c r="C41" s="2">
        <f>13+1/8</f>
        <v>13.125</v>
      </c>
      <c r="D41" s="2">
        <f t="shared" si="1"/>
        <v>4</v>
      </c>
      <c r="E41" s="2">
        <f t="shared" si="2"/>
        <v>0.1016</v>
      </c>
      <c r="F41" s="2">
        <f t="shared" si="3"/>
        <v>6.4522332000000002</v>
      </c>
      <c r="G41" s="2">
        <f t="shared" si="4"/>
        <v>4.0265272529999972E-2</v>
      </c>
      <c r="H41" s="2">
        <f>SUM($G$12:G41)</f>
        <v>0.41890011596999988</v>
      </c>
    </row>
    <row r="42" spans="1:8" x14ac:dyDescent="0.3">
      <c r="A42" s="4">
        <v>30</v>
      </c>
      <c r="B42" s="2">
        <f t="shared" si="0"/>
        <v>0.6804</v>
      </c>
      <c r="C42" s="2">
        <f>13+3/8</f>
        <v>13.375</v>
      </c>
      <c r="D42" s="2">
        <f t="shared" si="1"/>
        <v>4.25</v>
      </c>
      <c r="E42" s="2">
        <f t="shared" si="2"/>
        <v>0.10794999999999999</v>
      </c>
      <c r="F42" s="2">
        <f t="shared" si="3"/>
        <v>6.6747240000000003</v>
      </c>
      <c r="G42" s="2">
        <f t="shared" si="4"/>
        <v>4.1678089109999962E-2</v>
      </c>
      <c r="H42" s="2">
        <f>SUM($G$12:G42)</f>
        <v>0.46057820507999986</v>
      </c>
    </row>
    <row r="43" spans="1:8" x14ac:dyDescent="0.3">
      <c r="A43" s="4">
        <v>31</v>
      </c>
      <c r="B43" s="2">
        <f t="shared" si="0"/>
        <v>0.70307999999999993</v>
      </c>
      <c r="C43" s="2">
        <f>13+5/8</f>
        <v>13.625</v>
      </c>
      <c r="D43" s="2">
        <f t="shared" si="1"/>
        <v>4.5</v>
      </c>
      <c r="E43" s="2">
        <f t="shared" si="2"/>
        <v>0.1143</v>
      </c>
      <c r="F43" s="2">
        <f t="shared" si="3"/>
        <v>6.8972147999999995</v>
      </c>
      <c r="G43" s="2">
        <f t="shared" si="4"/>
        <v>4.3090905690000056E-2</v>
      </c>
      <c r="H43" s="2">
        <f>SUM($G$12:G43)</f>
        <v>0.50366911076999987</v>
      </c>
    </row>
    <row r="44" spans="1:8" x14ac:dyDescent="0.3">
      <c r="A44" s="4">
        <v>32</v>
      </c>
      <c r="B44" s="2">
        <f t="shared" si="0"/>
        <v>0.72575999999999996</v>
      </c>
      <c r="C44" s="2">
        <f>13+7/8</f>
        <v>13.875</v>
      </c>
      <c r="D44" s="2">
        <f t="shared" si="1"/>
        <v>4.75</v>
      </c>
      <c r="E44" s="2">
        <f t="shared" si="2"/>
        <v>0.12064999999999999</v>
      </c>
      <c r="F44" s="2">
        <f t="shared" si="3"/>
        <v>7.1197055999999996</v>
      </c>
      <c r="G44" s="2">
        <f t="shared" si="4"/>
        <v>4.4503722269999962E-2</v>
      </c>
      <c r="H44" s="2">
        <f>SUM($G$12:G44)</f>
        <v>0.54817283303999986</v>
      </c>
    </row>
    <row r="45" spans="1:8" x14ac:dyDescent="0.3">
      <c r="A45" s="4">
        <v>33</v>
      </c>
      <c r="B45" s="2">
        <f t="shared" si="0"/>
        <v>0.74843999999999999</v>
      </c>
      <c r="C45" s="2">
        <f>14+1/8</f>
        <v>14.125</v>
      </c>
      <c r="D45" s="2">
        <f t="shared" si="1"/>
        <v>5</v>
      </c>
      <c r="E45" s="2">
        <f t="shared" si="2"/>
        <v>0.127</v>
      </c>
      <c r="F45" s="2">
        <f t="shared" si="3"/>
        <v>7.3421964000000006</v>
      </c>
      <c r="G45" s="2">
        <f t="shared" si="4"/>
        <v>4.5916538850000063E-2</v>
      </c>
      <c r="H45" s="2">
        <f>SUM($G$12:G45)</f>
        <v>0.59408937188999988</v>
      </c>
    </row>
    <row r="46" spans="1:8" x14ac:dyDescent="0.3">
      <c r="A46" s="4">
        <v>34</v>
      </c>
      <c r="B46" s="2">
        <f t="shared" si="0"/>
        <v>0.77111999999999992</v>
      </c>
      <c r="C46" s="2">
        <f>14+3/8</f>
        <v>14.375</v>
      </c>
      <c r="D46" s="2">
        <f t="shared" si="1"/>
        <v>5.25</v>
      </c>
      <c r="E46" s="2">
        <f t="shared" si="2"/>
        <v>0.13335</v>
      </c>
      <c r="F46" s="2">
        <f t="shared" si="3"/>
        <v>7.5646871999999998</v>
      </c>
      <c r="G46" s="2">
        <f t="shared" si="4"/>
        <v>4.7329355429999963E-2</v>
      </c>
      <c r="H46" s="2">
        <f>SUM($G$12:G46)</f>
        <v>0.64141872731999983</v>
      </c>
    </row>
    <row r="47" spans="1:8" x14ac:dyDescent="0.3">
      <c r="A47" s="4">
        <v>35</v>
      </c>
      <c r="B47" s="2">
        <f t="shared" si="0"/>
        <v>0.79379999999999995</v>
      </c>
      <c r="C47" s="2">
        <f>14+5/8</f>
        <v>14.625</v>
      </c>
      <c r="D47" s="2">
        <f t="shared" si="1"/>
        <v>5.5</v>
      </c>
      <c r="E47" s="2">
        <f t="shared" si="2"/>
        <v>0.13969999999999999</v>
      </c>
      <c r="F47" s="2">
        <f t="shared" si="3"/>
        <v>7.7871779999999999</v>
      </c>
      <c r="G47" s="2">
        <f t="shared" si="4"/>
        <v>4.8742172009999953E-2</v>
      </c>
      <c r="H47" s="2">
        <f>SUM($G$12:G47)</f>
        <v>0.6901608993299998</v>
      </c>
    </row>
    <row r="48" spans="1:8" x14ac:dyDescent="0.3">
      <c r="A48" s="2" t="s">
        <v>2</v>
      </c>
      <c r="B48" s="2">
        <v>0</v>
      </c>
      <c r="C48" s="2">
        <f>9+3/8</f>
        <v>9.375</v>
      </c>
      <c r="D48" s="2">
        <f t="shared" si="1"/>
        <v>0.25</v>
      </c>
      <c r="E48" s="2">
        <f t="shared" si="2"/>
        <v>6.3499999999999997E-3</v>
      </c>
      <c r="F48" s="2">
        <f t="shared" si="3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5"/>
  <sheetViews>
    <sheetView topLeftCell="A2" workbookViewId="0">
      <selection activeCell="C27" sqref="C27"/>
    </sheetView>
  </sheetViews>
  <sheetFormatPr defaultRowHeight="14.4" x14ac:dyDescent="0.3"/>
  <cols>
    <col min="3" max="3" width="43.5546875" customWidth="1"/>
    <col min="4" max="4" width="55.6640625" customWidth="1"/>
    <col min="5" max="5" width="26.77734375" customWidth="1"/>
  </cols>
  <sheetData>
    <row r="2" spans="1:16384" s="10" customFormat="1" x14ac:dyDescent="0.3">
      <c r="A2" s="10" t="s">
        <v>33</v>
      </c>
    </row>
    <row r="3" spans="1:16384" x14ac:dyDescent="0.3">
      <c r="A3" s="2" t="s">
        <v>1</v>
      </c>
    </row>
    <row r="4" spans="1:16384" x14ac:dyDescent="0.3">
      <c r="A4" t="s">
        <v>15</v>
      </c>
      <c r="D4">
        <f>0.15*0.001</f>
        <v>1.4999999999999999E-4</v>
      </c>
    </row>
    <row r="5" spans="1:16384" x14ac:dyDescent="0.3">
      <c r="A5" t="s">
        <v>17</v>
      </c>
      <c r="C5" t="s">
        <v>6</v>
      </c>
      <c r="D5">
        <f>26*0.0254</f>
        <v>0.66039999999999999</v>
      </c>
    </row>
    <row r="6" spans="1:16384" x14ac:dyDescent="0.3">
      <c r="A6" s="2" t="s">
        <v>16</v>
      </c>
      <c r="D6">
        <v>9.81</v>
      </c>
    </row>
    <row r="7" spans="1:16384" x14ac:dyDescent="0.3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1:16384" x14ac:dyDescent="0.3">
      <c r="A8" t="s">
        <v>14</v>
      </c>
      <c r="B8" s="2"/>
      <c r="C8" s="2"/>
      <c r="D8" s="2">
        <v>0.14000000000000001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1:16384" x14ac:dyDescent="0.3">
      <c r="A9" t="s">
        <v>5</v>
      </c>
      <c r="C9">
        <f>2.5 +1 +4 +144+7.5</f>
        <v>159</v>
      </c>
    </row>
    <row r="11" spans="1:16384" x14ac:dyDescent="0.3">
      <c r="C11" t="s">
        <v>4</v>
      </c>
      <c r="D11" t="s">
        <v>7</v>
      </c>
      <c r="E11" t="s">
        <v>9</v>
      </c>
    </row>
    <row r="12" spans="1:16384" x14ac:dyDescent="0.3">
      <c r="B12">
        <v>1</v>
      </c>
      <c r="C12">
        <v>4.5</v>
      </c>
      <c r="D12">
        <f>$C$9 +C12</f>
        <v>163.5</v>
      </c>
      <c r="E12" s="7">
        <f>D12*0.0254</f>
        <v>4.1528999999999998</v>
      </c>
    </row>
    <row r="13" spans="1:16384" x14ac:dyDescent="0.3">
      <c r="B13">
        <v>2</v>
      </c>
      <c r="C13">
        <v>9</v>
      </c>
      <c r="D13">
        <f t="shared" ref="D13:D16" si="0">$C$9 +C13</f>
        <v>168</v>
      </c>
      <c r="E13" s="7">
        <f t="shared" ref="E13:E16" si="1">D13*0.0254</f>
        <v>4.2671999999999999</v>
      </c>
    </row>
    <row r="14" spans="1:16384" x14ac:dyDescent="0.3">
      <c r="B14">
        <v>3</v>
      </c>
      <c r="C14">
        <v>16</v>
      </c>
      <c r="D14">
        <f t="shared" si="0"/>
        <v>175</v>
      </c>
      <c r="E14" s="7">
        <f t="shared" si="1"/>
        <v>4.4449999999999994</v>
      </c>
    </row>
    <row r="15" spans="1:16384" x14ac:dyDescent="0.3">
      <c r="B15">
        <v>4</v>
      </c>
      <c r="C15">
        <v>18</v>
      </c>
      <c r="D15">
        <f t="shared" si="0"/>
        <v>177</v>
      </c>
      <c r="E15" s="7">
        <f t="shared" si="1"/>
        <v>4.4958</v>
      </c>
    </row>
    <row r="16" spans="1:16384" x14ac:dyDescent="0.3">
      <c r="B16">
        <v>5</v>
      </c>
      <c r="C16">
        <v>2</v>
      </c>
      <c r="D16">
        <f t="shared" si="0"/>
        <v>161</v>
      </c>
      <c r="E16" s="7">
        <f t="shared" si="1"/>
        <v>4.0893999999999995</v>
      </c>
    </row>
    <row r="17" spans="4:6" x14ac:dyDescent="0.3">
      <c r="E17" s="8">
        <f>MEDIAN(E12:E16)</f>
        <v>4.2671999999999999</v>
      </c>
      <c r="F17" t="s">
        <v>11</v>
      </c>
    </row>
    <row r="22" spans="4:6" x14ac:dyDescent="0.3">
      <c r="D22" t="s">
        <v>8</v>
      </c>
      <c r="E22" s="6">
        <f>9.81*(($E$17)^2)/2/($D$5)</f>
        <v>135.24398030769231</v>
      </c>
    </row>
    <row r="23" spans="4:6" ht="29.4" customHeight="1" x14ac:dyDescent="0.3">
      <c r="D23" t="s">
        <v>13</v>
      </c>
      <c r="E23" s="6">
        <f>0.5*($D$4)*($E$22)</f>
        <v>1.0143298523076922E-2</v>
      </c>
      <c r="F23" t="s">
        <v>10</v>
      </c>
    </row>
    <row r="24" spans="4:6" x14ac:dyDescent="0.3">
      <c r="D24" s="1" t="s">
        <v>18</v>
      </c>
      <c r="E24" s="6">
        <f>$E$23/$D$8</f>
        <v>7.2452132307692291E-2</v>
      </c>
    </row>
    <row r="25" spans="4:6" x14ac:dyDescent="0.3">
      <c r="E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K7" sqref="K7"/>
    </sheetView>
  </sheetViews>
  <sheetFormatPr defaultRowHeight="14.4" x14ac:dyDescent="0.3"/>
  <cols>
    <col min="1" max="1" width="35.77734375" customWidth="1"/>
  </cols>
  <sheetData>
    <row r="1" spans="1:1" ht="38.4" x14ac:dyDescent="0.7">
      <c r="A1" s="12" t="s">
        <v>35</v>
      </c>
    </row>
    <row r="2" spans="1:1" ht="38.4" x14ac:dyDescent="0.7">
      <c r="A2" s="12" t="s">
        <v>36</v>
      </c>
    </row>
    <row r="3" spans="1:1" ht="38.4" x14ac:dyDescent="0.7">
      <c r="A3" s="12" t="s">
        <v>39</v>
      </c>
    </row>
    <row r="4" spans="1:1" ht="38.4" x14ac:dyDescent="0.7">
      <c r="A4" s="12" t="s">
        <v>37</v>
      </c>
    </row>
    <row r="7" spans="1:1" ht="28.8" x14ac:dyDescent="0.3">
      <c r="A7" s="13" t="s">
        <v>38</v>
      </c>
    </row>
    <row r="8" spans="1:1" x14ac:dyDescent="0.3">
      <c r="A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Activity 2 </vt:lpstr>
      <vt:lpstr>Activity 3</vt:lpstr>
      <vt:lpstr>ContactInfo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2017-09-07T17:36:08Z</dcterms:modified>
</cp:coreProperties>
</file>