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2.70 2022/2.70 Fall 2022 Lecture Topic Materials/Lecture 1/"/>
    </mc:Choice>
  </mc:AlternateContent>
  <xr:revisionPtr revIDLastSave="0" documentId="8_{70E8429D-1001-B840-AC28-EAD8298C795A}" xr6:coauthVersionLast="47" xr6:coauthVersionMax="47" xr10:uidLastSave="{00000000-0000-0000-0000-000000000000}"/>
  <bookViews>
    <workbookView xWindow="5320" yWindow="820" windowWidth="25400" windowHeight="18380" xr2:uid="{4ACA4052-3BD4-2B4F-8E92-395112858903}"/>
  </bookViews>
  <sheets>
    <sheet name="exisiting oil system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2" l="1"/>
  <c r="B55" i="2" s="1"/>
  <c r="B56" i="2" s="1"/>
  <c r="B63" i="2" l="1"/>
  <c r="B64" i="2" s="1"/>
  <c r="B19" i="2"/>
  <c r="B59" i="2"/>
  <c r="B60" i="2" s="1"/>
  <c r="G52" i="2" l="1"/>
  <c r="B16" i="2"/>
  <c r="G44" i="2" s="1"/>
  <c r="B49" i="2"/>
  <c r="B24" i="2"/>
  <c r="B25" i="2" s="1"/>
  <c r="B37" i="2" s="1"/>
  <c r="B11" i="2"/>
  <c r="B12" i="2" s="1"/>
  <c r="G39" i="2"/>
  <c r="G50" i="2"/>
  <c r="B35" i="2" l="1"/>
  <c r="B38" i="2"/>
  <c r="B13" i="2"/>
  <c r="B14" i="2"/>
  <c r="B26" i="2" s="1"/>
  <c r="G51" i="2"/>
  <c r="G53" i="2" s="1"/>
  <c r="G38" i="2"/>
  <c r="G41" i="2"/>
  <c r="B29" i="2" l="1"/>
  <c r="B30" i="2" s="1"/>
  <c r="B50" i="2"/>
  <c r="B40" i="2"/>
  <c r="B51" i="2" l="1"/>
  <c r="B34" i="2"/>
  <c r="G45" i="2" s="1"/>
  <c r="B32" i="2"/>
  <c r="B42" i="2" s="1"/>
  <c r="B57" i="2" s="1"/>
  <c r="B44" i="2"/>
  <c r="B65" i="2" l="1"/>
  <c r="B66" i="2"/>
  <c r="B61" i="2"/>
  <c r="B62" i="2"/>
  <c r="B45" i="2"/>
  <c r="B53" i="2"/>
  <c r="B52" i="2"/>
  <c r="B58" i="2"/>
  <c r="B46" i="2"/>
</calcChain>
</file>

<file path=xl/sharedStrings.xml><?xml version="1.0" encoding="utf-8"?>
<sst xmlns="http://schemas.openxmlformats.org/spreadsheetml/2006/main" count="65" uniqueCount="59">
  <si>
    <t>BTU/gallon</t>
  </si>
  <si>
    <t>BTUs/ton</t>
  </si>
  <si>
    <t>upper floor</t>
  </si>
  <si>
    <t>lower floor</t>
  </si>
  <si>
    <t>https://www.energystar.gov/products/energy_star_most_efficient_2020/geothermal_heat_pumps</t>
  </si>
  <si>
    <t>conversation with www.ultrageothermal.com</t>
  </si>
  <si>
    <t>kWhr power consumed</t>
  </si>
  <si>
    <t>Estimated annual electric cost</t>
  </si>
  <si>
    <t>Exisiting oil furnace</t>
  </si>
  <si>
    <t>Gallons oil used per year</t>
  </si>
  <si>
    <t>Energy delievered (Joules)</t>
  </si>
  <si>
    <t>kWhr heat produced</t>
  </si>
  <si>
    <t>Total oil cost per year</t>
  </si>
  <si>
    <t>CO2 generated (kg/gallon)</t>
  </si>
  <si>
    <t>Percent of system purchase</t>
  </si>
  <si>
    <t>Effective cost per Watt heat installed</t>
  </si>
  <si>
    <t>Tax credit</t>
  </si>
  <si>
    <t>Efficiency</t>
  </si>
  <si>
    <t>Oil cost per gallon</t>
  </si>
  <si>
    <t>Capital recovery factor (monthly payments)</t>
  </si>
  <si>
    <t>Monthly payment</t>
  </si>
  <si>
    <t>Annual interest rate (assume govt mandates prime rate)</t>
  </si>
  <si>
    <t>24 hour average power over number of heating days (Watts)</t>
  </si>
  <si>
    <t>Heating power potential (Watts)</t>
  </si>
  <si>
    <t>Total BTU/hour</t>
  </si>
  <si>
    <t>Total installed system cost estimate</t>
  </si>
  <si>
    <t>Geothermal system (cash buy) effective annual cost</t>
  </si>
  <si>
    <t>Energy delivered (BTU)</t>
  </si>
  <si>
    <t xml:space="preserve">                                 (kWhr)</t>
  </si>
  <si>
    <t>w/o energy storage</t>
  </si>
  <si>
    <t>Annual total $/year - $ otherwise spent on oil</t>
  </si>
  <si>
    <t>Heating Days per year</t>
  </si>
  <si>
    <t>Annual</t>
  </si>
  <si>
    <t>From DoE annual operate cost est (Note NH crazy electric costs)</t>
  </si>
  <si>
    <t>kgCO2/kWh for natural gas generated electricity</t>
  </si>
  <si>
    <t>https://www.eia.gov/tools/faqs/faq.php?id=74&amp;t=11</t>
  </si>
  <si>
    <t>kgCO2</t>
  </si>
  <si>
    <t>Oil system kg CO2 per year</t>
  </si>
  <si>
    <t>CO2 savings (kg/yr)</t>
  </si>
  <si>
    <t>Effective cost per tonne CO2</t>
  </si>
  <si>
    <t>Carbon tax of $100/tonne</t>
  </si>
  <si>
    <t>Carbon tax of $200/tonne</t>
  </si>
  <si>
    <t>Resulting cost of oil (basic cost as above)</t>
  </si>
  <si>
    <t>Case 3:  Effect of carbon "tax" (e.g., a Greenhouse Gas Emissions Fee) on cost of oil if direct pass through</t>
  </si>
  <si>
    <t>https://www.eia.gov/tools/faqs/faq.php?id=73&amp;t=11</t>
  </si>
  <si>
    <t>pounds of CO2/million BTU</t>
  </si>
  <si>
    <t>Duty cycle for same average heating power as provided by oil</t>
  </si>
  <si>
    <t>Heat pump Coeficient of Power: CoP (power out/power in)</t>
  </si>
  <si>
    <t>Electric power cost $/kWhr (Bow NH)</t>
  </si>
  <si>
    <t>Geothermal heat pump system (tons)</t>
  </si>
  <si>
    <t>Net cost to install geothermal system</t>
  </si>
  <si>
    <t>Conservative lifetime yrs</t>
  </si>
  <si>
    <t>Case 2: Geothermal system (financed buy) effective annual cost</t>
  </si>
  <si>
    <t>Case 1: Pay cash for system</t>
  </si>
  <si>
    <t>Carbon tax of $300/tonne</t>
  </si>
  <si>
    <t>by Alex Slocum 2021.04.10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</si>
  <si>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"/>
      </rPr>
      <t>RED</t>
    </r>
  </si>
  <si>
    <t>Assumes annual maintenance costs will be similar</t>
  </si>
  <si>
    <t>Replacing oil heat with geothermal heat pump dollars and kgCO2 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</si>
</sst>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3" fillId="0" borderId="1" xfId="0" applyFont="1" applyBorder="1"/>
    <xf numFmtId="165" fontId="4" fillId="0" borderId="1" xfId="1" applyNumberFormat="1" applyFont="1" applyBorder="1"/>
    <xf numFmtId="165" fontId="3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1" xfId="0" applyBorder="1" applyAlignment="1">
      <alignment horizontal="left"/>
    </xf>
    <xf numFmtId="44" fontId="4" fillId="0" borderId="1" xfId="2" applyFont="1" applyBorder="1"/>
    <xf numFmtId="44" fontId="3" fillId="0" borderId="1" xfId="2" applyFont="1" applyBorder="1"/>
    <xf numFmtId="44" fontId="4" fillId="0" borderId="1" xfId="0" applyNumberFormat="1" applyFont="1" applyBorder="1"/>
    <xf numFmtId="0" fontId="2" fillId="0" borderId="1" xfId="4" applyBorder="1"/>
    <xf numFmtId="11" fontId="4" fillId="0" borderId="1" xfId="0" applyNumberFormat="1" applyFont="1" applyBorder="1"/>
    <xf numFmtId="0" fontId="0" fillId="0" borderId="2" xfId="0" applyBorder="1" applyAlignment="1">
      <alignment horizontal="center"/>
    </xf>
    <xf numFmtId="0" fontId="3" fillId="0" borderId="2" xfId="0" applyFont="1" applyBorder="1"/>
    <xf numFmtId="165" fontId="4" fillId="0" borderId="2" xfId="1" applyNumberFormat="1" applyFont="1" applyBorder="1"/>
    <xf numFmtId="165" fontId="3" fillId="0" borderId="2" xfId="1" applyNumberFormat="1" applyFont="1" applyBorder="1"/>
    <xf numFmtId="164" fontId="3" fillId="0" borderId="2" xfId="1" applyNumberFormat="1" applyFont="1" applyBorder="1"/>
    <xf numFmtId="43" fontId="3" fillId="0" borderId="2" xfId="1" applyNumberFormat="1" applyFont="1" applyBorder="1"/>
    <xf numFmtId="166" fontId="4" fillId="0" borderId="2" xfId="2" applyNumberFormat="1" applyFont="1" applyBorder="1"/>
    <xf numFmtId="166" fontId="3" fillId="0" borderId="2" xfId="2" applyNumberFormat="1" applyFont="1" applyBorder="1"/>
    <xf numFmtId="0" fontId="0" fillId="0" borderId="2" xfId="0" applyBorder="1"/>
    <xf numFmtId="166" fontId="5" fillId="0" borderId="2" xfId="2" applyNumberFormat="1" applyFont="1" applyBorder="1"/>
    <xf numFmtId="44" fontId="4" fillId="0" borderId="2" xfId="2" applyFont="1" applyBorder="1"/>
    <xf numFmtId="9" fontId="3" fillId="0" borderId="2" xfId="3" applyFont="1" applyBorder="1"/>
    <xf numFmtId="166" fontId="4" fillId="2" borderId="2" xfId="0" applyNumberFormat="1" applyFont="1" applyFill="1" applyBorder="1"/>
    <xf numFmtId="166" fontId="4" fillId="4" borderId="2" xfId="2" applyNumberFormat="1" applyFont="1" applyFill="1" applyBorder="1"/>
    <xf numFmtId="10" fontId="3" fillId="0" borderId="2" xfId="3" applyNumberFormat="1" applyFont="1" applyBorder="1"/>
    <xf numFmtId="167" fontId="4" fillId="0" borderId="2" xfId="2" applyNumberFormat="1" applyFont="1" applyBorder="1"/>
    <xf numFmtId="166" fontId="4" fillId="3" borderId="2" xfId="0" applyNumberFormat="1" applyFont="1" applyFill="1" applyBorder="1"/>
    <xf numFmtId="0" fontId="0" fillId="0" borderId="3" xfId="0" applyBorder="1"/>
    <xf numFmtId="44" fontId="4" fillId="4" borderId="2" xfId="2" applyNumberFormat="1" applyFont="1" applyFill="1" applyBorder="1"/>
    <xf numFmtId="166" fontId="4" fillId="0" borderId="1" xfId="2" applyNumberFormat="1" applyFont="1" applyBorder="1"/>
    <xf numFmtId="9" fontId="3" fillId="0" borderId="1" xfId="3" applyFont="1" applyBorder="1"/>
    <xf numFmtId="0" fontId="0" fillId="0" borderId="1" xfId="0" applyFill="1" applyBorder="1"/>
    <xf numFmtId="166" fontId="4" fillId="0" borderId="1" xfId="2" applyNumberFormat="1" applyFont="1" applyFill="1" applyBorder="1"/>
    <xf numFmtId="0" fontId="0" fillId="0" borderId="1" xfId="0" applyFill="1" applyBorder="1" applyAlignment="1">
      <alignment horizontal="left" indent="1"/>
    </xf>
    <xf numFmtId="9" fontId="4" fillId="0" borderId="2" xfId="3" applyFont="1" applyFill="1" applyBorder="1"/>
    <xf numFmtId="0" fontId="0" fillId="0" borderId="1" xfId="0" applyBorder="1" applyAlignment="1">
      <alignment horizontal="left" indent="2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3" fontId="4" fillId="0" borderId="1" xfId="0" applyNumberFormat="1" applyFont="1" applyBorder="1"/>
    <xf numFmtId="0" fontId="0" fillId="0" borderId="6" xfId="0" applyBorder="1" applyAlignment="1">
      <alignment horizontal="left" indent="1"/>
    </xf>
    <xf numFmtId="44" fontId="4" fillId="0" borderId="7" xfId="2" applyFont="1" applyBorder="1"/>
    <xf numFmtId="44" fontId="4" fillId="0" borderId="9" xfId="0" applyNumberFormat="1" applyFont="1" applyBorder="1"/>
    <xf numFmtId="0" fontId="4" fillId="0" borderId="9" xfId="0" applyFont="1" applyBorder="1" applyAlignment="1">
      <alignment horizontal="center"/>
    </xf>
    <xf numFmtId="44" fontId="4" fillId="0" borderId="12" xfId="2" applyFont="1" applyBorder="1"/>
    <xf numFmtId="44" fontId="4" fillId="0" borderId="4" xfId="2" applyFont="1" applyFill="1" applyBorder="1" applyAlignment="1">
      <alignment horizontal="center"/>
    </xf>
    <xf numFmtId="0" fontId="0" fillId="0" borderId="8" xfId="0" applyFill="1" applyBorder="1" applyAlignment="1">
      <alignment horizontal="left" indent="1"/>
    </xf>
    <xf numFmtId="10" fontId="3" fillId="0" borderId="9" xfId="3" applyNumberFormat="1" applyFont="1" applyFill="1" applyBorder="1"/>
    <xf numFmtId="167" fontId="4" fillId="0" borderId="9" xfId="2" applyNumberFormat="1" applyFont="1" applyFill="1" applyBorder="1"/>
    <xf numFmtId="166" fontId="4" fillId="0" borderId="9" xfId="2" applyNumberFormat="1" applyFont="1" applyFill="1" applyBorder="1"/>
    <xf numFmtId="44" fontId="4" fillId="0" borderId="12" xfId="0" applyNumberFormat="1" applyFont="1" applyFill="1" applyBorder="1"/>
    <xf numFmtId="0" fontId="0" fillId="0" borderId="8" xfId="0" applyBorder="1" applyAlignment="1">
      <alignment horizontal="left" indent="2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0" fillId="0" borderId="10" xfId="0" applyFill="1" applyBorder="1" applyAlignment="1">
      <alignment horizontal="left" vertical="center" indent="2"/>
    </xf>
    <xf numFmtId="0" fontId="0" fillId="0" borderId="11" xfId="0" applyFill="1" applyBorder="1" applyAlignment="1">
      <alignment horizontal="left" vertical="center" indent="2"/>
    </xf>
    <xf numFmtId="0" fontId="0" fillId="0" borderId="4" xfId="0" applyFill="1" applyBorder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0" fillId="0" borderId="1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lef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nergystar.gov/products/energy_star_most_efficient_2020/geothermal_heat_pum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8B4E-7CB6-404A-87A8-F4A3C3077DDA}">
  <dimension ref="A1:G94"/>
  <sheetViews>
    <sheetView tabSelected="1" topLeftCell="A48" zoomScale="174" zoomScaleNormal="174" workbookViewId="0">
      <selection activeCell="B67" sqref="B67"/>
    </sheetView>
  </sheetViews>
  <sheetFormatPr baseColWidth="10" defaultRowHeight="16" x14ac:dyDescent="0.2"/>
  <cols>
    <col min="1" max="1" width="62" style="1" customWidth="1"/>
    <col min="2" max="2" width="23.1640625" style="1" customWidth="1"/>
    <col min="3" max="16384" width="10.83203125" style="1"/>
  </cols>
  <sheetData>
    <row r="1" spans="1:2" x14ac:dyDescent="0.2">
      <c r="A1" s="1" t="s">
        <v>58</v>
      </c>
      <c r="B1" s="20"/>
    </row>
    <row r="2" spans="1:2" x14ac:dyDescent="0.2">
      <c r="A2" s="1" t="s">
        <v>55</v>
      </c>
      <c r="B2" s="20"/>
    </row>
    <row r="3" spans="1:2" x14ac:dyDescent="0.2">
      <c r="A3" s="1" t="s">
        <v>56</v>
      </c>
      <c r="B3" s="20"/>
    </row>
    <row r="4" spans="1:2" x14ac:dyDescent="0.2">
      <c r="A4" s="1" t="s">
        <v>57</v>
      </c>
      <c r="B4" s="20"/>
    </row>
    <row r="5" spans="1:2" x14ac:dyDescent="0.2">
      <c r="B5" s="20"/>
    </row>
    <row r="6" spans="1:2" x14ac:dyDescent="0.2">
      <c r="A6" s="6" t="s">
        <v>31</v>
      </c>
      <c r="B6" s="15">
        <v>150</v>
      </c>
    </row>
    <row r="7" spans="1:2" x14ac:dyDescent="0.2">
      <c r="A7" s="1" t="s">
        <v>8</v>
      </c>
    </row>
    <row r="8" spans="1:2" x14ac:dyDescent="0.2">
      <c r="A8" s="5" t="s">
        <v>9</v>
      </c>
      <c r="B8" s="2">
        <v>1200</v>
      </c>
    </row>
    <row r="9" spans="1:2" x14ac:dyDescent="0.2">
      <c r="A9" s="5" t="s">
        <v>0</v>
      </c>
      <c r="B9" s="2">
        <v>139000</v>
      </c>
    </row>
    <row r="10" spans="1:2" x14ac:dyDescent="0.2">
      <c r="A10" s="5" t="s">
        <v>17</v>
      </c>
      <c r="B10" s="2">
        <v>0.85</v>
      </c>
    </row>
    <row r="11" spans="1:2" x14ac:dyDescent="0.2">
      <c r="A11" s="5" t="s">
        <v>27</v>
      </c>
      <c r="B11" s="4">
        <f>B10*B9*B8</f>
        <v>141780000</v>
      </c>
    </row>
    <row r="12" spans="1:2" x14ac:dyDescent="0.2">
      <c r="A12" s="5" t="s">
        <v>10</v>
      </c>
      <c r="B12" s="11">
        <f>1055.6*B11</f>
        <v>149662968000</v>
      </c>
    </row>
    <row r="13" spans="1:2" x14ac:dyDescent="0.2">
      <c r="A13" s="5" t="s">
        <v>28</v>
      </c>
      <c r="B13" s="3">
        <f>B12/1000/3600</f>
        <v>41573.046666666669</v>
      </c>
    </row>
    <row r="14" spans="1:2" x14ac:dyDescent="0.2">
      <c r="A14" s="5" t="s">
        <v>22</v>
      </c>
      <c r="B14" s="3">
        <f>B12/(B6*24*3600)</f>
        <v>11548.068518518519</v>
      </c>
    </row>
    <row r="15" spans="1:2" x14ac:dyDescent="0.2">
      <c r="A15" s="5" t="s">
        <v>18</v>
      </c>
      <c r="B15" s="8">
        <v>3</v>
      </c>
    </row>
    <row r="16" spans="1:2" x14ac:dyDescent="0.2">
      <c r="A16" s="5" t="s">
        <v>12</v>
      </c>
      <c r="B16" s="9">
        <f>B15*B8</f>
        <v>3600</v>
      </c>
    </row>
    <row r="17" spans="1:3" x14ac:dyDescent="0.2">
      <c r="A17" s="5" t="s">
        <v>45</v>
      </c>
      <c r="B17" s="4">
        <v>161.30000000000001</v>
      </c>
      <c r="C17" s="1" t="s">
        <v>44</v>
      </c>
    </row>
    <row r="18" spans="1:3" x14ac:dyDescent="0.2">
      <c r="A18" s="5" t="s">
        <v>13</v>
      </c>
      <c r="B18" s="41">
        <f>B17/2.2*(B9/1000000)</f>
        <v>10.191227272727273</v>
      </c>
    </row>
    <row r="19" spans="1:3" x14ac:dyDescent="0.2">
      <c r="A19" s="5" t="s">
        <v>37</v>
      </c>
      <c r="B19" s="3">
        <f>B18*B8</f>
        <v>12229.472727272729</v>
      </c>
    </row>
    <row r="20" spans="1:3" x14ac:dyDescent="0.2">
      <c r="A20" s="1" t="s">
        <v>49</v>
      </c>
      <c r="B20" s="12"/>
    </row>
    <row r="21" spans="1:3" x14ac:dyDescent="0.2">
      <c r="A21" s="5" t="s">
        <v>2</v>
      </c>
      <c r="B21" s="13">
        <v>4</v>
      </c>
    </row>
    <row r="22" spans="1:3" x14ac:dyDescent="0.2">
      <c r="A22" s="5" t="s">
        <v>3</v>
      </c>
      <c r="B22" s="13">
        <v>4</v>
      </c>
    </row>
    <row r="23" spans="1:3" x14ac:dyDescent="0.2">
      <c r="A23" s="5" t="s">
        <v>1</v>
      </c>
      <c r="B23" s="13">
        <v>12000</v>
      </c>
    </row>
    <row r="24" spans="1:3" x14ac:dyDescent="0.2">
      <c r="A24" s="5" t="s">
        <v>24</v>
      </c>
      <c r="B24" s="14">
        <f>B23*(B21+B22)</f>
        <v>96000</v>
      </c>
    </row>
    <row r="25" spans="1:3" x14ac:dyDescent="0.2">
      <c r="A25" s="5" t="s">
        <v>23</v>
      </c>
      <c r="B25" s="14">
        <f>B24*0.29307107</f>
        <v>28134.82272</v>
      </c>
    </row>
    <row r="26" spans="1:3" s="33" customFormat="1" x14ac:dyDescent="0.2">
      <c r="A26" s="35" t="s">
        <v>46</v>
      </c>
      <c r="B26" s="36">
        <f>B14/B25</f>
        <v>0.41045463955631845</v>
      </c>
    </row>
    <row r="27" spans="1:3" x14ac:dyDescent="0.2">
      <c r="A27" s="5" t="s">
        <v>47</v>
      </c>
      <c r="B27" s="16">
        <v>4.2</v>
      </c>
    </row>
    <row r="28" spans="1:3" x14ac:dyDescent="0.2">
      <c r="A28" s="5" t="s">
        <v>32</v>
      </c>
      <c r="B28" s="14"/>
    </row>
    <row r="29" spans="1:3" x14ac:dyDescent="0.2">
      <c r="A29" s="37" t="s">
        <v>11</v>
      </c>
      <c r="B29" s="14">
        <f>B26*B25*B6*24/1000</f>
        <v>41573.046666666669</v>
      </c>
    </row>
    <row r="30" spans="1:3" x14ac:dyDescent="0.2">
      <c r="A30" s="37" t="s">
        <v>6</v>
      </c>
      <c r="B30" s="14">
        <f>B29/B27</f>
        <v>9898.3444444444449</v>
      </c>
    </row>
    <row r="31" spans="1:3" x14ac:dyDescent="0.2">
      <c r="A31" s="37" t="s">
        <v>34</v>
      </c>
      <c r="B31" s="38">
        <v>0.19600000000000001</v>
      </c>
      <c r="C31" t="s">
        <v>35</v>
      </c>
    </row>
    <row r="32" spans="1:3" x14ac:dyDescent="0.2">
      <c r="A32" s="37" t="s">
        <v>36</v>
      </c>
      <c r="B32" s="39">
        <f>B31*B30</f>
        <v>1940.0755111111114</v>
      </c>
      <c r="C32"/>
    </row>
    <row r="33" spans="1:7" x14ac:dyDescent="0.2">
      <c r="A33" s="5" t="s">
        <v>48</v>
      </c>
      <c r="B33" s="17">
        <v>0.21</v>
      </c>
    </row>
    <row r="34" spans="1:7" x14ac:dyDescent="0.2">
      <c r="A34" s="5" t="s">
        <v>7</v>
      </c>
      <c r="B34" s="18">
        <f>B33*B30</f>
        <v>2078.6523333333334</v>
      </c>
    </row>
    <row r="35" spans="1:7" x14ac:dyDescent="0.2">
      <c r="A35" s="5" t="s">
        <v>33</v>
      </c>
      <c r="B35" s="19">
        <f>573/74400*B24</f>
        <v>739.35483870967744</v>
      </c>
      <c r="C35" s="10" t="s">
        <v>4</v>
      </c>
    </row>
    <row r="36" spans="1:7" x14ac:dyDescent="0.2">
      <c r="A36" s="5" t="s">
        <v>25</v>
      </c>
      <c r="B36" s="31">
        <v>60000</v>
      </c>
      <c r="C36" s="1" t="s">
        <v>5</v>
      </c>
      <c r="G36" s="12" t="s">
        <v>29</v>
      </c>
    </row>
    <row r="37" spans="1:7" x14ac:dyDescent="0.2">
      <c r="A37" s="5" t="s">
        <v>15</v>
      </c>
      <c r="B37" s="7">
        <f>B36/B25</f>
        <v>2.1325885219581719</v>
      </c>
      <c r="G37" s="21">
        <v>2000</v>
      </c>
    </row>
    <row r="38" spans="1:7" x14ac:dyDescent="0.2">
      <c r="A38" s="5" t="s">
        <v>16</v>
      </c>
      <c r="B38" s="31">
        <f>B36*B39</f>
        <v>13200</v>
      </c>
      <c r="G38" s="22" t="e">
        <f>#REF!/B25</f>
        <v>#REF!</v>
      </c>
    </row>
    <row r="39" spans="1:7" x14ac:dyDescent="0.2">
      <c r="A39" s="37" t="s">
        <v>14</v>
      </c>
      <c r="B39" s="32">
        <v>0.22</v>
      </c>
      <c r="G39" s="18" t="e">
        <f>#REF!*G40</f>
        <v>#REF!</v>
      </c>
    </row>
    <row r="40" spans="1:7" x14ac:dyDescent="0.2">
      <c r="A40" s="5" t="s">
        <v>50</v>
      </c>
      <c r="B40" s="31">
        <f>B36-B38</f>
        <v>46800</v>
      </c>
      <c r="G40" s="23">
        <v>0.26</v>
      </c>
    </row>
    <row r="41" spans="1:7" x14ac:dyDescent="0.2">
      <c r="A41" s="5" t="s">
        <v>51</v>
      </c>
      <c r="B41" s="2">
        <v>15</v>
      </c>
      <c r="G41" s="18" t="e">
        <f>#REF!-G39</f>
        <v>#REF!</v>
      </c>
    </row>
    <row r="42" spans="1:7" x14ac:dyDescent="0.2">
      <c r="A42" s="5" t="s">
        <v>38</v>
      </c>
      <c r="B42" s="39">
        <f>B19-B32</f>
        <v>10289.397216161617</v>
      </c>
      <c r="G42" s="18"/>
    </row>
    <row r="43" spans="1:7" x14ac:dyDescent="0.2">
      <c r="A43" s="54" t="s">
        <v>53</v>
      </c>
      <c r="B43" s="55"/>
      <c r="G43" s="13"/>
    </row>
    <row r="44" spans="1:7" x14ac:dyDescent="0.2">
      <c r="A44" s="35" t="s">
        <v>26</v>
      </c>
      <c r="B44" s="34">
        <f>B40/B41</f>
        <v>3120</v>
      </c>
      <c r="G44" s="24">
        <f>B16</f>
        <v>3600</v>
      </c>
    </row>
    <row r="45" spans="1:7" x14ac:dyDescent="0.2">
      <c r="A45" s="58" t="s">
        <v>39</v>
      </c>
      <c r="B45" s="40" t="str">
        <f>IF(((B44-B16)/(B42/1000))&lt;0,"I am paid $/tonne CO2:","I pay $/tonne CO2:")</f>
        <v>I am paid $/tonne CO2:</v>
      </c>
      <c r="G45" s="25" t="e">
        <f>G41/#REF!+B34</f>
        <v>#REF!</v>
      </c>
    </row>
    <row r="46" spans="1:7" ht="17" thickBot="1" x14ac:dyDescent="0.25">
      <c r="A46" s="59"/>
      <c r="B46" s="47">
        <f>ABS((B44-B16)/(B42/1000))</f>
        <v>46.649963055762022</v>
      </c>
      <c r="G46" s="25"/>
    </row>
    <row r="47" spans="1:7" x14ac:dyDescent="0.2">
      <c r="A47" s="64" t="s">
        <v>52</v>
      </c>
      <c r="B47" s="65"/>
      <c r="C47" s="29"/>
      <c r="G47" s="25"/>
    </row>
    <row r="48" spans="1:7" x14ac:dyDescent="0.2">
      <c r="A48" s="48" t="s">
        <v>21</v>
      </c>
      <c r="B48" s="49">
        <v>3.2500000000000001E-2</v>
      </c>
      <c r="C48" s="29"/>
      <c r="G48" s="25"/>
    </row>
    <row r="49" spans="1:7" x14ac:dyDescent="0.2">
      <c r="A49" s="48" t="s">
        <v>19</v>
      </c>
      <c r="B49" s="50">
        <f>((B48/12)*(1+B48/12)^(B41*12)) /((1+B48/12)^(B41*12)-1)</f>
        <v>7.0266876891988007E-3</v>
      </c>
      <c r="C49" s="29"/>
      <c r="G49" s="26">
        <v>3.2500000000000001E-2</v>
      </c>
    </row>
    <row r="50" spans="1:7" x14ac:dyDescent="0.2">
      <c r="A50" s="48" t="s">
        <v>20</v>
      </c>
      <c r="B50" s="51">
        <f>B49*B36</f>
        <v>421.60126135192803</v>
      </c>
      <c r="C50" s="29"/>
      <c r="G50" s="27" t="e">
        <f>((G49/12)*(1+G49/12)^(#REF!*12)) /((1+G49/12)^(#REF!*12)-1)</f>
        <v>#REF!</v>
      </c>
    </row>
    <row r="51" spans="1:7" x14ac:dyDescent="0.2">
      <c r="A51" s="48" t="s">
        <v>30</v>
      </c>
      <c r="B51" s="51">
        <f>B50*12-B16</f>
        <v>1459.2151362231361</v>
      </c>
      <c r="C51" s="29"/>
      <c r="G51" s="18" t="e">
        <f>G50*#REF!</f>
        <v>#REF!</v>
      </c>
    </row>
    <row r="52" spans="1:7" x14ac:dyDescent="0.2">
      <c r="A52" s="60" t="s">
        <v>39</v>
      </c>
      <c r="B52" s="45" t="str">
        <f>IF((B51/(B42/1000))&lt;0,"I am paid $/tonne CO2:","I pay $/tonne CO2:")</f>
        <v>I pay $/tonne CO2:</v>
      </c>
      <c r="C52" s="29"/>
      <c r="G52" s="30">
        <f>B15</f>
        <v>3</v>
      </c>
    </row>
    <row r="53" spans="1:7" ht="17" thickBot="1" x14ac:dyDescent="0.25">
      <c r="A53" s="61"/>
      <c r="B53" s="52">
        <f>(B51)/(B42/1000)</f>
        <v>141.81735874003761</v>
      </c>
      <c r="C53" s="29"/>
      <c r="G53" s="28" t="e">
        <f>(#REF!-B16)/B19</f>
        <v>#REF!</v>
      </c>
    </row>
    <row r="54" spans="1:7" ht="35" customHeight="1" thickBot="1" x14ac:dyDescent="0.25">
      <c r="A54" s="62" t="s">
        <v>43</v>
      </c>
      <c r="B54" s="63"/>
      <c r="C54" s="29"/>
      <c r="G54" s="28"/>
    </row>
    <row r="55" spans="1:7" x14ac:dyDescent="0.2">
      <c r="A55" s="42" t="s">
        <v>40</v>
      </c>
      <c r="B55" s="43">
        <f>B$18/1000*100</f>
        <v>1.0191227272727275</v>
      </c>
      <c r="C55" s="29"/>
    </row>
    <row r="56" spans="1:7" x14ac:dyDescent="0.2">
      <c r="A56" s="53" t="s">
        <v>42</v>
      </c>
      <c r="B56" s="44">
        <f>B55+B$15</f>
        <v>4.0191227272727277</v>
      </c>
      <c r="C56" s="29"/>
    </row>
    <row r="57" spans="1:7" x14ac:dyDescent="0.2">
      <c r="A57" s="56" t="s">
        <v>39</v>
      </c>
      <c r="B57" s="45" t="str">
        <f>IF((B$50*12-B56*B$8)/(B$42/1000)&lt;0,"I am paid $/tonne CO2:","I pay $/tonne CO2:")</f>
        <v>I pay $/tonne CO2:</v>
      </c>
      <c r="C57" s="29"/>
    </row>
    <row r="58" spans="1:7" ht="17" thickBot="1" x14ac:dyDescent="0.25">
      <c r="A58" s="57"/>
      <c r="B58" s="46">
        <f>ABS((B$50*12-B56*B$8)/(B$42/1000))</f>
        <v>22.962264798637147</v>
      </c>
      <c r="C58" s="29"/>
    </row>
    <row r="59" spans="1:7" x14ac:dyDescent="0.2">
      <c r="A59" s="42" t="s">
        <v>41</v>
      </c>
      <c r="B59" s="43">
        <f>B$18/1000*200</f>
        <v>2.0382454545454549</v>
      </c>
      <c r="C59" s="29"/>
    </row>
    <row r="60" spans="1:7" x14ac:dyDescent="0.2">
      <c r="A60" s="53" t="s">
        <v>42</v>
      </c>
      <c r="B60" s="44">
        <f>B59+B$15</f>
        <v>5.0382454545454554</v>
      </c>
      <c r="C60" s="29"/>
    </row>
    <row r="61" spans="1:7" x14ac:dyDescent="0.2">
      <c r="A61" s="56" t="s">
        <v>39</v>
      </c>
      <c r="B61" s="45" t="str">
        <f>IF((B$50*12-B60*B$8)/(B$42/1000)&lt;0,"I am paid $/tonne CO2:","I pay $/tonne CO2:")</f>
        <v>I am paid $/tonne CO2:</v>
      </c>
      <c r="C61" s="29"/>
    </row>
    <row r="62" spans="1:7" ht="17" thickBot="1" x14ac:dyDescent="0.25">
      <c r="A62" s="57"/>
      <c r="B62" s="46">
        <f>ABS((B$50*12-B60*B$8)/(B$42/1000))</f>
        <v>95.892829142763318</v>
      </c>
      <c r="C62" s="29"/>
    </row>
    <row r="63" spans="1:7" x14ac:dyDescent="0.2">
      <c r="A63" s="42" t="s">
        <v>54</v>
      </c>
      <c r="B63" s="43">
        <f>B$18/1000*300</f>
        <v>3.0573681818181822</v>
      </c>
    </row>
    <row r="64" spans="1:7" customFormat="1" x14ac:dyDescent="0.2">
      <c r="A64" s="53" t="s">
        <v>42</v>
      </c>
      <c r="B64" s="44">
        <f>B63+B$15</f>
        <v>6.0573681818181822</v>
      </c>
    </row>
    <row r="65" spans="1:2" customFormat="1" x14ac:dyDescent="0.2">
      <c r="A65" s="56" t="s">
        <v>39</v>
      </c>
      <c r="B65" s="45" t="str">
        <f>IF((B$50*12-B64*B$8)/(B$42/1000)&lt;0,"I am paid $/tonne CO2:","I pay $/tonne CO2:")</f>
        <v>I am paid $/tonne CO2:</v>
      </c>
    </row>
    <row r="66" spans="1:2" customFormat="1" ht="17" thickBot="1" x14ac:dyDescent="0.25">
      <c r="A66" s="57"/>
      <c r="B66" s="46">
        <f>ABS((B$50*12-B64*B$8)/(B$42/1000))</f>
        <v>214.74792308416369</v>
      </c>
    </row>
    <row r="67" spans="1:2" customFormat="1" x14ac:dyDescent="0.2"/>
    <row r="68" spans="1:2" customFormat="1" x14ac:dyDescent="0.2"/>
    <row r="69" spans="1:2" customFormat="1" x14ac:dyDescent="0.2"/>
    <row r="70" spans="1:2" customFormat="1" x14ac:dyDescent="0.2"/>
    <row r="71" spans="1:2" customFormat="1" x14ac:dyDescent="0.2"/>
    <row r="72" spans="1:2" customFormat="1" x14ac:dyDescent="0.2"/>
    <row r="73" spans="1:2" customFormat="1" x14ac:dyDescent="0.2"/>
    <row r="74" spans="1:2" customFormat="1" x14ac:dyDescent="0.2"/>
    <row r="75" spans="1:2" customFormat="1" x14ac:dyDescent="0.2"/>
    <row r="76" spans="1:2" customFormat="1" x14ac:dyDescent="0.2"/>
    <row r="77" spans="1:2" customFormat="1" x14ac:dyDescent="0.2"/>
    <row r="78" spans="1:2" customFormat="1" x14ac:dyDescent="0.2"/>
    <row r="79" spans="1:2" customFormat="1" x14ac:dyDescent="0.2"/>
    <row r="80" spans="1:2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</sheetData>
  <mergeCells count="8">
    <mergeCell ref="A43:B43"/>
    <mergeCell ref="A65:A66"/>
    <mergeCell ref="A45:A46"/>
    <mergeCell ref="A52:A53"/>
    <mergeCell ref="A57:A58"/>
    <mergeCell ref="A61:A62"/>
    <mergeCell ref="A54:B54"/>
    <mergeCell ref="A47:B47"/>
  </mergeCells>
  <hyperlinks>
    <hyperlink ref="C35" r:id="rId1" xr:uid="{302E773B-29DA-1945-AA06-58BD754548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exisiting oil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2020-08-13T15:30:32Z</dcterms:created>
  <dcterms:modified xsi:type="dcterms:W3CDTF">2022-08-11T19:13:25Z</dcterms:modified>
</cp:coreProperties>
</file>