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locum/Documents/Mac files/Companies/KLA/spreadsheets/"/>
    </mc:Choice>
  </mc:AlternateContent>
  <xr:revisionPtr revIDLastSave="0" documentId="13_ncr:1_{E9023101-1845-2C4B-B8DD-02BB68633782}" xr6:coauthVersionLast="36" xr6:coauthVersionMax="36" xr10:uidLastSave="{00000000-0000-0000-0000-000000000000}"/>
  <bookViews>
    <workbookView xWindow="6700" yWindow="740" windowWidth="23160" windowHeight="17040" tabRatio="500" xr2:uid="{00000000-000D-0000-FFFF-FFFF00000000}"/>
  </bookViews>
  <sheets>
    <sheet name="round v square" sheetId="1" r:id="rId1"/>
    <sheet name="X axis with cant Y" sheetId="2" r:id="rId2"/>
  </sheets>
  <definedNames>
    <definedName name="deltaxsin">'X axis with cant Y'!$C$27</definedName>
    <definedName name="deltaxz">'X axis with cant Y'!$C$23</definedName>
    <definedName name="deltayz">'X axis with cant Y'!$C$21</definedName>
    <definedName name="E">'X axis with cant Y'!$C$16</definedName>
    <definedName name="G">'X axis with cant Y'!$C$18</definedName>
    <definedName name="IPy">'X axis with cant Y'!$C$14</definedName>
    <definedName name="IPYY">'X axis with cant Y'!$C$15</definedName>
    <definedName name="Ltt">'X axis with cant Y'!$C$6</definedName>
    <definedName name="Lya">'X axis with cant Y'!$C$11</definedName>
    <definedName name="Lyfx">'X axis with cant Y'!$C$7</definedName>
    <definedName name="Mxa">'X axis with cant Y'!$C$8</definedName>
    <definedName name="Mxay">'X axis with cant Y'!$C$9</definedName>
    <definedName name="ODy">'X axis with cant Y'!$C$12</definedName>
    <definedName name="R_OD">'round v square'!$D$8</definedName>
    <definedName name="R_wall">'round v square'!$D$9</definedName>
    <definedName name="S_OD">'round v square'!$D$14</definedName>
    <definedName name="S_wall">'round v square'!$D$15</definedName>
    <definedName name="thetatt">'X axis with cant Y'!$C$26</definedName>
    <definedName name="thetay">'X axis with cant Y'!$C$20</definedName>
    <definedName name="ty">'X axis with cant Y'!$C$13</definedName>
    <definedName name="v">'X axis with cant Y'!$C$17</definedName>
  </definedName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2" l="1"/>
  <c r="C14" i="2"/>
  <c r="C16" i="2"/>
  <c r="C18" i="2"/>
  <c r="C20" i="2"/>
  <c r="C26" i="2"/>
  <c r="C27" i="2"/>
  <c r="C24" i="2"/>
  <c r="C23" i="2"/>
  <c r="C15" i="2"/>
  <c r="C21" i="2"/>
  <c r="D11" i="1"/>
  <c r="C6" i="1"/>
  <c r="C40" i="1"/>
  <c r="C48" i="1"/>
  <c r="C37" i="1"/>
  <c r="C38" i="1"/>
  <c r="C32" i="1"/>
  <c r="C31" i="1"/>
  <c r="C30" i="1"/>
  <c r="C41" i="1"/>
  <c r="B42" i="1"/>
  <c r="C49" i="1"/>
  <c r="C50" i="1"/>
  <c r="C33" i="1"/>
  <c r="D10" i="1"/>
  <c r="D16" i="1"/>
  <c r="B24" i="1"/>
  <c r="D12" i="1"/>
  <c r="D18" i="1"/>
  <c r="B23" i="1"/>
  <c r="D17" i="1"/>
  <c r="B22" i="1"/>
</calcChain>
</file>

<file path=xl/sharedStrings.xml><?xml version="1.0" encoding="utf-8"?>
<sst xmlns="http://schemas.openxmlformats.org/spreadsheetml/2006/main" count="154" uniqueCount="110">
  <si>
    <t>Round</t>
  </si>
  <si>
    <t>units</t>
  </si>
  <si>
    <t>name</t>
  </si>
  <si>
    <t>value</t>
  </si>
  <si>
    <t>OD</t>
  </si>
  <si>
    <t>mm</t>
  </si>
  <si>
    <t>R_OD</t>
  </si>
  <si>
    <t>wall</t>
  </si>
  <si>
    <t>R_wall</t>
  </si>
  <si>
    <t>Area</t>
  </si>
  <si>
    <t>mm^2</t>
  </si>
  <si>
    <t>R_Area</t>
  </si>
  <si>
    <t>I</t>
  </si>
  <si>
    <t>mm^4</t>
  </si>
  <si>
    <t>R_I</t>
  </si>
  <si>
    <t>Ipolar</t>
  </si>
  <si>
    <t>R_Ip</t>
  </si>
  <si>
    <t>Square</t>
  </si>
  <si>
    <t>S_OD</t>
  </si>
  <si>
    <t>S_wall</t>
  </si>
  <si>
    <t>S_Area</t>
  </si>
  <si>
    <t>Iyy</t>
  </si>
  <si>
    <t>S_I</t>
  </si>
  <si>
    <t>S_IP</t>
  </si>
  <si>
    <t>Comparison</t>
  </si>
  <si>
    <t>Bending stiffness round/square</t>
  </si>
  <si>
    <t>torsional stiffness round/square</t>
  </si>
  <si>
    <t>weight round/square</t>
  </si>
  <si>
    <t>Addition of size 25 bearing rails</t>
  </si>
  <si>
    <t>cross section area of rails</t>
  </si>
  <si>
    <t>width</t>
  </si>
  <si>
    <t>height</t>
  </si>
  <si>
    <t>distance of centroid to centroid of circle</t>
  </si>
  <si>
    <t>Modulus of elasticity</t>
  </si>
  <si>
    <t>MPa</t>
  </si>
  <si>
    <t>square or round Aluminum tube</t>
  </si>
  <si>
    <t>Moment of Inertia</t>
  </si>
  <si>
    <t>Machined groove for bearing rails</t>
  </si>
  <si>
    <t>depth</t>
  </si>
  <si>
    <t>area</t>
  </si>
  <si>
    <t xml:space="preserve">Increase in round section stiffness (EI) by steel linear guide rails on top and bottom </t>
  </si>
  <si>
    <t>Plane round section stiffness (EI)</t>
  </si>
  <si>
    <t>N-mm^2</t>
  </si>
  <si>
    <t>Increase in stiffness by mounting steel rails at top and bottom location on round rail</t>
  </si>
  <si>
    <t>Do we care?</t>
  </si>
  <si>
    <t>X axis length</t>
  </si>
  <si>
    <t>Force from Y axis</t>
  </si>
  <si>
    <t>N</t>
  </si>
  <si>
    <t>Assume simply supported X axis with Y axis loading it</t>
  </si>
  <si>
    <t>Deflection (currently)</t>
  </si>
  <si>
    <t>Deflection if rails mounted top and bottom</t>
  </si>
  <si>
    <t>difference</t>
  </si>
  <si>
    <t>Lyfx</t>
  </si>
  <si>
    <t>Distance Y axis from center X</t>
  </si>
  <si>
    <t>Mass X axis</t>
  </si>
  <si>
    <t>Mxa</t>
  </si>
  <si>
    <t>kg</t>
  </si>
  <si>
    <t>Mxay</t>
  </si>
  <si>
    <t>Moment on X axis from Y load</t>
  </si>
  <si>
    <t>N-mm</t>
  </si>
  <si>
    <t>X axis</t>
  </si>
  <si>
    <t>Total length</t>
  </si>
  <si>
    <t>Lya</t>
  </si>
  <si>
    <t>Ody</t>
  </si>
  <si>
    <t>Wall thickness</t>
  </si>
  <si>
    <t>ty</t>
  </si>
  <si>
    <t>Ipy</t>
  </si>
  <si>
    <t>Iyyy</t>
  </si>
  <si>
    <t>Deflections</t>
  </si>
  <si>
    <t>rotation in center (ends fixed)</t>
  </si>
  <si>
    <t>Youngs modulus</t>
  </si>
  <si>
    <t>E</t>
  </si>
  <si>
    <t>v</t>
  </si>
  <si>
    <t>Shear modulus</t>
  </si>
  <si>
    <t>G</t>
  </si>
  <si>
    <t>Poisson ratio</t>
  </si>
  <si>
    <t>radians</t>
  </si>
  <si>
    <t>thetay</t>
  </si>
  <si>
    <t>Z displacement in center (ends simple support)</t>
  </si>
  <si>
    <t>deltayz</t>
  </si>
  <si>
    <t>Abbe errors at tip</t>
  </si>
  <si>
    <t>Ltt</t>
  </si>
  <si>
    <t>Z distance to tool tip</t>
  </si>
  <si>
    <t>deltaxz</t>
  </si>
  <si>
    <t>Z downward</t>
  </si>
  <si>
    <t>X (cosine error)</t>
  </si>
  <si>
    <t>deltaxcs</t>
  </si>
  <si>
    <t>X abbe at tool tip</t>
  </si>
  <si>
    <t>angle from tube center to tool tip</t>
  </si>
  <si>
    <t>thetatt</t>
  </si>
  <si>
    <t>X (Abbe (sin) error)</t>
  </si>
  <si>
    <t>deltaxsin</t>
  </si>
  <si>
    <t>Mxa*9.8*Lyfx</t>
  </si>
  <si>
    <t>PI()*(ODy^4-(ODy-2*ty)^4)/32</t>
  </si>
  <si>
    <t>PI()*(ODy^4-(ODy-2*ty)^4)/64</t>
  </si>
  <si>
    <t>((Lya/2)*Mxay/(IPy*G))/2</t>
  </si>
  <si>
    <t>0.5*E/(1+v)</t>
  </si>
  <si>
    <t>9.8*Mxa*Lya^3/(48*E*IPYY)</t>
  </si>
  <si>
    <t>Lyfx*thetay</t>
  </si>
  <si>
    <t>Lyfx*(1-COS(thetay))</t>
  </si>
  <si>
    <t>ATAN(Ltt/Lyfx)</t>
  </si>
  <si>
    <t>Lyfx*SIN(thetay)*SIN(thetatt)</t>
  </si>
  <si>
    <t>Written by Alex Slocum July 28, 2019</t>
  </si>
  <si>
    <r>
      <t xml:space="preserve">Inputs in </t>
    </r>
    <r>
      <rPr>
        <b/>
        <sz val="12"/>
        <color theme="1"/>
        <rFont val="Calibri"/>
        <family val="2"/>
        <scheme val="minor"/>
      </rPr>
      <t>BLACK</t>
    </r>
    <r>
      <rPr>
        <sz val="12"/>
        <color theme="1"/>
        <rFont val="Calibri"/>
        <family val="2"/>
        <scheme val="minor"/>
      </rPr>
      <t xml:space="preserve">, Outputs in </t>
    </r>
    <r>
      <rPr>
        <b/>
        <sz val="12"/>
        <color rgb="FFFF0000"/>
        <rFont val="Calibri (Body)_x0000_"/>
      </rPr>
      <t>RED</t>
    </r>
  </si>
  <si>
    <t>Property</t>
  </si>
  <si>
    <t>Variable</t>
  </si>
  <si>
    <t>Value</t>
  </si>
  <si>
    <t>Units</t>
  </si>
  <si>
    <t>Equation</t>
  </si>
  <si>
    <t>Y axis and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</si>
</sst>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E+00"/>
    <numFmt numFmtId="166" formatCode="0.0000"/>
    <numFmt numFmtId="167" formatCode="0.0.E+00"/>
    <numFmt numFmtId="168" formatCode="0.000000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4" fontId="3" fillId="0" borderId="0" xfId="1" applyNumberFormat="1" applyFont="1"/>
    <xf numFmtId="165" fontId="3" fillId="0" borderId="0" xfId="0" applyNumberFormat="1" applyFont="1"/>
    <xf numFmtId="11" fontId="3" fillId="0" borderId="0" xfId="0" applyNumberFormat="1" applyFont="1"/>
    <xf numFmtId="2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164" fontId="0" fillId="0" borderId="0" xfId="1" applyNumberFormat="1" applyFont="1"/>
    <xf numFmtId="11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left" indent="1"/>
    </xf>
    <xf numFmtId="0" fontId="7" fillId="0" borderId="5" xfId="0" applyFont="1" applyBorder="1"/>
    <xf numFmtId="0" fontId="3" fillId="0" borderId="5" xfId="0" applyFont="1" applyBorder="1"/>
    <xf numFmtId="164" fontId="3" fillId="0" borderId="5" xfId="1" applyNumberFormat="1" applyFont="1" applyBorder="1"/>
    <xf numFmtId="164" fontId="6" fillId="0" borderId="5" xfId="1" applyNumberFormat="1" applyFont="1" applyBorder="1" applyAlignment="1">
      <alignment horizontal="center"/>
    </xf>
    <xf numFmtId="1" fontId="7" fillId="0" borderId="5" xfId="0" applyNumberFormat="1" applyFont="1" applyBorder="1"/>
    <xf numFmtId="2" fontId="7" fillId="0" borderId="5" xfId="0" applyNumberFormat="1" applyFont="1" applyBorder="1"/>
    <xf numFmtId="11" fontId="3" fillId="0" borderId="5" xfId="0" applyNumberFormat="1" applyFont="1" applyBorder="1"/>
    <xf numFmtId="11" fontId="0" fillId="0" borderId="5" xfId="0" applyNumberFormat="1" applyFont="1" applyBorder="1" applyAlignment="1">
      <alignment horizontal="center"/>
    </xf>
    <xf numFmtId="168" fontId="3" fillId="0" borderId="5" xfId="0" applyNumberFormat="1" applyFont="1" applyBorder="1"/>
    <xf numFmtId="168" fontId="0" fillId="0" borderId="5" xfId="0" applyNumberFormat="1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7" fillId="0" borderId="6" xfId="0" applyFont="1" applyBorder="1"/>
    <xf numFmtId="0" fontId="0" fillId="0" borderId="6" xfId="0" applyFont="1" applyBorder="1" applyAlignment="1">
      <alignment horizontal="center"/>
    </xf>
    <xf numFmtId="0" fontId="0" fillId="0" borderId="4" xfId="0" applyBorder="1" applyAlignment="1">
      <alignment horizontal="left" indent="1"/>
    </xf>
    <xf numFmtId="0" fontId="3" fillId="0" borderId="4" xfId="0" applyFont="1" applyBorder="1"/>
    <xf numFmtId="0" fontId="0" fillId="0" borderId="4" xfId="0" applyFont="1" applyBorder="1" applyAlignment="1">
      <alignment horizontal="center"/>
    </xf>
    <xf numFmtId="0" fontId="3" fillId="0" borderId="6" xfId="0" applyFont="1" applyBorder="1"/>
    <xf numFmtId="1" fontId="3" fillId="0" borderId="4" xfId="0" applyNumberFormat="1" applyFont="1" applyBorder="1"/>
    <xf numFmtId="1" fontId="0" fillId="0" borderId="4" xfId="0" applyNumberFormat="1" applyFont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 indent="1"/>
    </xf>
    <xf numFmtId="2" fontId="0" fillId="2" borderId="0" xfId="0" applyNumberFormat="1" applyFill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</cellXfs>
  <cellStyles count="10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50"/>
  <sheetViews>
    <sheetView tabSelected="1" topLeftCell="A2" zoomScale="183" zoomScaleNormal="183" workbookViewId="0">
      <selection activeCell="D11" sqref="D11"/>
    </sheetView>
  </sheetViews>
  <sheetFormatPr baseColWidth="10" defaultRowHeight="16"/>
  <cols>
    <col min="1" max="1" width="50" customWidth="1"/>
  </cols>
  <sheetData>
    <row r="2" spans="1:4">
      <c r="A2" t="s">
        <v>35</v>
      </c>
    </row>
    <row r="4" spans="1:4">
      <c r="A4" s="2"/>
      <c r="C4" s="10"/>
    </row>
    <row r="5" spans="1:4">
      <c r="A5" s="2"/>
      <c r="C5" s="10"/>
    </row>
    <row r="6" spans="1:4">
      <c r="A6" s="2" t="s">
        <v>33</v>
      </c>
      <c r="B6" t="s">
        <v>34</v>
      </c>
      <c r="C6" s="10">
        <f>200000/3</f>
        <v>66666.666666666672</v>
      </c>
    </row>
    <row r="7" spans="1:4">
      <c r="A7" s="1" t="s">
        <v>0</v>
      </c>
      <c r="B7" t="s">
        <v>1</v>
      </c>
      <c r="C7" t="s">
        <v>2</v>
      </c>
      <c r="D7" t="s">
        <v>3</v>
      </c>
    </row>
    <row r="8" spans="1:4">
      <c r="A8" s="2" t="s">
        <v>4</v>
      </c>
      <c r="B8" t="s">
        <v>5</v>
      </c>
      <c r="C8" t="s">
        <v>6</v>
      </c>
      <c r="D8" s="1">
        <v>250</v>
      </c>
    </row>
    <row r="9" spans="1:4">
      <c r="A9" s="2" t="s">
        <v>7</v>
      </c>
      <c r="B9" t="s">
        <v>5</v>
      </c>
      <c r="C9" t="s">
        <v>8</v>
      </c>
      <c r="D9" s="1">
        <v>20</v>
      </c>
    </row>
    <row r="10" spans="1:4">
      <c r="A10" s="2" t="s">
        <v>9</v>
      </c>
      <c r="B10" t="s">
        <v>10</v>
      </c>
      <c r="C10" t="s">
        <v>11</v>
      </c>
      <c r="D10" s="3">
        <f>PI()*(R_OD^2-(R_OD-2*R_wall)^2)/4</f>
        <v>14451.326206513048</v>
      </c>
    </row>
    <row r="11" spans="1:4">
      <c r="A11" s="2" t="s">
        <v>12</v>
      </c>
      <c r="B11" t="s">
        <v>13</v>
      </c>
      <c r="C11" t="s">
        <v>14</v>
      </c>
      <c r="D11" s="4">
        <f>PI()*(R_OD^4-(R_OD-2*R_wall)^4)/64</f>
        <v>96281960.850893185</v>
      </c>
    </row>
    <row r="12" spans="1:4">
      <c r="A12" s="2" t="s">
        <v>15</v>
      </c>
      <c r="B12" t="s">
        <v>13</v>
      </c>
      <c r="C12" t="s">
        <v>16</v>
      </c>
      <c r="D12" s="4">
        <f>PI()*(R_OD^4-(R_OD-2*R_wall)^4)/32</f>
        <v>192563921.70178637</v>
      </c>
    </row>
    <row r="13" spans="1:4">
      <c r="A13" s="1" t="s">
        <v>17</v>
      </c>
    </row>
    <row r="14" spans="1:4">
      <c r="A14" s="2" t="s">
        <v>4</v>
      </c>
      <c r="B14" t="s">
        <v>5</v>
      </c>
      <c r="C14" t="s">
        <v>18</v>
      </c>
      <c r="D14" s="1">
        <v>200</v>
      </c>
    </row>
    <row r="15" spans="1:4">
      <c r="A15" s="2" t="s">
        <v>7</v>
      </c>
      <c r="B15" t="s">
        <v>5</v>
      </c>
      <c r="C15" t="s">
        <v>19</v>
      </c>
      <c r="D15" s="1">
        <v>20</v>
      </c>
    </row>
    <row r="16" spans="1:4">
      <c r="A16" s="2" t="s">
        <v>9</v>
      </c>
      <c r="B16" t="s">
        <v>10</v>
      </c>
      <c r="C16" t="s">
        <v>20</v>
      </c>
      <c r="D16" s="3">
        <f>S_OD^2-(S_OD-2*S_wall)^2</f>
        <v>14400</v>
      </c>
    </row>
    <row r="17" spans="1:4">
      <c r="A17" s="2" t="s">
        <v>21</v>
      </c>
      <c r="B17" t="s">
        <v>13</v>
      </c>
      <c r="C17" t="s">
        <v>22</v>
      </c>
      <c r="D17" s="5">
        <f>(S_OD^4-(S_OD-2*S_wall)^4)/12</f>
        <v>78720000</v>
      </c>
    </row>
    <row r="18" spans="1:4">
      <c r="A18" s="2" t="s">
        <v>15</v>
      </c>
      <c r="B18" t="s">
        <v>13</v>
      </c>
      <c r="C18" t="s">
        <v>23</v>
      </c>
      <c r="D18" s="5">
        <f>4*((S_OD-S_wall)^2)^2*S_wall/(4*(S_OD-S_wall))</f>
        <v>116640000</v>
      </c>
    </row>
    <row r="21" spans="1:4">
      <c r="A21" s="40" t="s">
        <v>24</v>
      </c>
      <c r="B21" s="41"/>
    </row>
    <row r="22" spans="1:4">
      <c r="A22" s="42" t="s">
        <v>25</v>
      </c>
      <c r="B22" s="43">
        <f>D11/D17</f>
        <v>1.2230940148741511</v>
      </c>
    </row>
    <row r="23" spans="1:4">
      <c r="A23" s="42" t="s">
        <v>26</v>
      </c>
      <c r="B23" s="43">
        <f>D12/D18</f>
        <v>1.6509252546449449</v>
      </c>
    </row>
    <row r="24" spans="1:4">
      <c r="A24" s="41" t="s">
        <v>27</v>
      </c>
      <c r="B24" s="43">
        <f>D10/D16</f>
        <v>1.0035643198967394</v>
      </c>
    </row>
    <row r="26" spans="1:4">
      <c r="A26" s="7" t="s">
        <v>28</v>
      </c>
    </row>
    <row r="27" spans="1:4">
      <c r="A27" t="s">
        <v>29</v>
      </c>
    </row>
    <row r="28" spans="1:4">
      <c r="A28" s="2" t="s">
        <v>30</v>
      </c>
      <c r="B28" t="s">
        <v>5</v>
      </c>
      <c r="C28">
        <v>23</v>
      </c>
    </row>
    <row r="29" spans="1:4">
      <c r="A29" s="2" t="s">
        <v>31</v>
      </c>
      <c r="B29" t="s">
        <v>5</v>
      </c>
      <c r="C29">
        <v>23</v>
      </c>
    </row>
    <row r="30" spans="1:4">
      <c r="A30" s="2" t="s">
        <v>9</v>
      </c>
      <c r="B30" t="s">
        <v>10</v>
      </c>
      <c r="C30">
        <f>C28*C29</f>
        <v>529</v>
      </c>
    </row>
    <row r="31" spans="1:4">
      <c r="A31" s="2" t="s">
        <v>36</v>
      </c>
      <c r="B31" t="s">
        <v>13</v>
      </c>
      <c r="C31" s="9">
        <f>C29^3*C28/12</f>
        <v>23320.083333333332</v>
      </c>
    </row>
    <row r="32" spans="1:4">
      <c r="A32" s="2" t="s">
        <v>33</v>
      </c>
      <c r="B32" t="s">
        <v>34</v>
      </c>
      <c r="C32" s="10">
        <f>200000</f>
        <v>200000</v>
      </c>
    </row>
    <row r="33" spans="1:3">
      <c r="A33" s="2" t="s">
        <v>32</v>
      </c>
      <c r="B33" t="s">
        <v>5</v>
      </c>
      <c r="C33">
        <f>R_OD/2-C36+C29/2</f>
        <v>131.5</v>
      </c>
    </row>
    <row r="34" spans="1:3">
      <c r="A34" s="2"/>
    </row>
    <row r="35" spans="1:3">
      <c r="A35" s="2" t="s">
        <v>37</v>
      </c>
    </row>
    <row r="36" spans="1:3">
      <c r="A36" s="2" t="s">
        <v>38</v>
      </c>
      <c r="B36" t="s">
        <v>5</v>
      </c>
      <c r="C36">
        <v>5</v>
      </c>
    </row>
    <row r="37" spans="1:3">
      <c r="A37" s="2" t="s">
        <v>39</v>
      </c>
      <c r="B37" t="s">
        <v>10</v>
      </c>
      <c r="C37">
        <f>C36*C28</f>
        <v>115</v>
      </c>
    </row>
    <row r="38" spans="1:3">
      <c r="A38" s="2" t="s">
        <v>36</v>
      </c>
      <c r="B38" t="s">
        <v>13</v>
      </c>
      <c r="C38" s="8">
        <f>C37*C36^3/12</f>
        <v>1197.9166666666667</v>
      </c>
    </row>
    <row r="40" spans="1:3">
      <c r="A40" s="7" t="s">
        <v>41</v>
      </c>
      <c r="B40" t="s">
        <v>42</v>
      </c>
      <c r="C40" s="12">
        <f>D11*C6</f>
        <v>6418797390059.5459</v>
      </c>
    </row>
    <row r="41" spans="1:3">
      <c r="A41" s="2" t="s">
        <v>40</v>
      </c>
      <c r="B41" t="s">
        <v>42</v>
      </c>
      <c r="C41" s="12">
        <f>C6*(D11-2*(C38+(R_OD/2-C36/2)^2*C37))+C32*(C31+(R_OD/2-C36/2+C29/2)^2*C30)</f>
        <v>8092950651170.6582</v>
      </c>
    </row>
    <row r="42" spans="1:3">
      <c r="A42" s="2" t="s">
        <v>43</v>
      </c>
      <c r="B42" s="6">
        <f>C41/C40</f>
        <v>1.2608203935060773</v>
      </c>
    </row>
    <row r="44" spans="1:3">
      <c r="A44" s="7" t="s">
        <v>44</v>
      </c>
    </row>
    <row r="45" spans="1:3">
      <c r="A45" s="2" t="s">
        <v>48</v>
      </c>
    </row>
    <row r="46" spans="1:3">
      <c r="A46" s="2" t="s">
        <v>45</v>
      </c>
      <c r="B46" t="s">
        <v>5</v>
      </c>
      <c r="C46">
        <v>1600</v>
      </c>
    </row>
    <row r="47" spans="1:3">
      <c r="A47" s="2" t="s">
        <v>46</v>
      </c>
      <c r="B47" t="s">
        <v>47</v>
      </c>
      <c r="C47">
        <v>1000</v>
      </c>
    </row>
    <row r="48" spans="1:3">
      <c r="A48" s="2" t="s">
        <v>49</v>
      </c>
      <c r="B48" t="s">
        <v>5</v>
      </c>
      <c r="C48" s="11">
        <f>C47*C46^3/(48*C40)</f>
        <v>1.3294286787348139E-2</v>
      </c>
    </row>
    <row r="49" spans="1:3">
      <c r="A49" s="2" t="s">
        <v>50</v>
      </c>
      <c r="B49" t="s">
        <v>5</v>
      </c>
      <c r="C49" s="11">
        <f>C48/B42</f>
        <v>1.054415589708183E-2</v>
      </c>
    </row>
    <row r="50" spans="1:3">
      <c r="A50" s="2" t="s">
        <v>51</v>
      </c>
      <c r="B50" t="s">
        <v>5</v>
      </c>
      <c r="C50" s="11">
        <f>C48-C49</f>
        <v>2.7501308902663085E-3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E217-7747-DA4C-BBD8-8A6C59F5495A}">
  <dimension ref="A2:E27"/>
  <sheetViews>
    <sheetView topLeftCell="A19" zoomScale="214" zoomScaleNormal="214" workbookViewId="0">
      <selection activeCell="C13" sqref="C13"/>
    </sheetView>
  </sheetViews>
  <sheetFormatPr baseColWidth="10" defaultRowHeight="16"/>
  <cols>
    <col min="1" max="1" width="41.33203125" customWidth="1"/>
    <col min="2" max="2" width="10.83203125" style="13"/>
    <col min="3" max="3" width="15" bestFit="1" customWidth="1"/>
    <col min="4" max="4" width="10.83203125" style="13"/>
    <col min="5" max="5" width="28.6640625" style="14" customWidth="1"/>
  </cols>
  <sheetData>
    <row r="2" spans="1:5">
      <c r="A2" s="44" t="s">
        <v>102</v>
      </c>
      <c r="B2" s="45"/>
      <c r="C2" s="45"/>
      <c r="D2" s="45"/>
      <c r="E2" s="46"/>
    </row>
    <row r="3" spans="1:5">
      <c r="A3" s="44" t="s">
        <v>103</v>
      </c>
      <c r="B3" s="45"/>
      <c r="C3" s="45"/>
      <c r="D3" s="45"/>
      <c r="E3" s="46"/>
    </row>
    <row r="4" spans="1:5" ht="17" thickBot="1">
      <c r="A4" s="15" t="s">
        <v>104</v>
      </c>
      <c r="B4" s="16" t="s">
        <v>105</v>
      </c>
      <c r="C4" s="16" t="s">
        <v>106</v>
      </c>
      <c r="D4" s="16" t="s">
        <v>107</v>
      </c>
      <c r="E4" s="16" t="s">
        <v>108</v>
      </c>
    </row>
    <row r="5" spans="1:5">
      <c r="A5" s="30" t="s">
        <v>109</v>
      </c>
      <c r="B5" s="31"/>
      <c r="C5" s="30"/>
      <c r="D5" s="31"/>
      <c r="E5" s="33"/>
    </row>
    <row r="6" spans="1:5">
      <c r="A6" s="19" t="s">
        <v>82</v>
      </c>
      <c r="B6" s="17" t="s">
        <v>81</v>
      </c>
      <c r="C6" s="20">
        <v>400</v>
      </c>
      <c r="D6" s="17" t="s">
        <v>5</v>
      </c>
      <c r="E6" s="18"/>
    </row>
    <row r="7" spans="1:5">
      <c r="A7" s="19" t="s">
        <v>53</v>
      </c>
      <c r="B7" s="17" t="s">
        <v>52</v>
      </c>
      <c r="C7" s="20">
        <v>600</v>
      </c>
      <c r="D7" s="17" t="s">
        <v>5</v>
      </c>
      <c r="E7" s="18"/>
    </row>
    <row r="8" spans="1:5">
      <c r="A8" s="19" t="s">
        <v>54</v>
      </c>
      <c r="B8" s="17" t="s">
        <v>55</v>
      </c>
      <c r="C8" s="20">
        <v>100</v>
      </c>
      <c r="D8" s="17" t="s">
        <v>56</v>
      </c>
      <c r="E8" s="18"/>
    </row>
    <row r="9" spans="1:5" ht="17" thickBot="1">
      <c r="A9" s="34" t="s">
        <v>58</v>
      </c>
      <c r="B9" s="16" t="s">
        <v>57</v>
      </c>
      <c r="C9" s="35">
        <f>Mxa*9.8*Lyfx</f>
        <v>588000.00000000012</v>
      </c>
      <c r="D9" s="16" t="s">
        <v>59</v>
      </c>
      <c r="E9" s="36" t="s">
        <v>92</v>
      </c>
    </row>
    <row r="10" spans="1:5">
      <c r="A10" s="30" t="s">
        <v>60</v>
      </c>
      <c r="B10" s="31"/>
      <c r="C10" s="32"/>
      <c r="D10" s="31"/>
      <c r="E10" s="33"/>
    </row>
    <row r="11" spans="1:5">
      <c r="A11" s="19" t="s">
        <v>61</v>
      </c>
      <c r="B11" s="17" t="s">
        <v>62</v>
      </c>
      <c r="C11" s="20">
        <v>1500</v>
      </c>
      <c r="D11" s="17" t="s">
        <v>5</v>
      </c>
      <c r="E11" s="18"/>
    </row>
    <row r="12" spans="1:5">
      <c r="A12" s="19" t="s">
        <v>4</v>
      </c>
      <c r="B12" s="17" t="s">
        <v>63</v>
      </c>
      <c r="C12" s="20">
        <v>300</v>
      </c>
      <c r="D12" s="17" t="s">
        <v>5</v>
      </c>
      <c r="E12" s="18"/>
    </row>
    <row r="13" spans="1:5">
      <c r="A13" s="19" t="s">
        <v>64</v>
      </c>
      <c r="B13" s="17" t="s">
        <v>65</v>
      </c>
      <c r="C13" s="20">
        <v>15</v>
      </c>
      <c r="D13" s="17" t="s">
        <v>5</v>
      </c>
      <c r="E13" s="18"/>
    </row>
    <row r="14" spans="1:5">
      <c r="A14" s="19" t="s">
        <v>15</v>
      </c>
      <c r="B14" s="17" t="s">
        <v>66</v>
      </c>
      <c r="C14" s="22">
        <f>PI()*(ODy^4-(ODy-2*ty)^4)/32</f>
        <v>273474658.74728727</v>
      </c>
      <c r="D14" s="17" t="s">
        <v>13</v>
      </c>
      <c r="E14" s="23" t="s">
        <v>93</v>
      </c>
    </row>
    <row r="15" spans="1:5">
      <c r="A15" s="19" t="s">
        <v>21</v>
      </c>
      <c r="B15" s="17" t="s">
        <v>67</v>
      </c>
      <c r="C15" s="22">
        <f>PI()*(ODy^4-(ODy-2*ty)^4)/64</f>
        <v>136737329.37364364</v>
      </c>
      <c r="D15" s="17" t="s">
        <v>13</v>
      </c>
      <c r="E15" s="23" t="s">
        <v>94</v>
      </c>
    </row>
    <row r="16" spans="1:5">
      <c r="A16" s="19" t="s">
        <v>70</v>
      </c>
      <c r="B16" s="17" t="s">
        <v>71</v>
      </c>
      <c r="C16" s="24">
        <f>200000/3</f>
        <v>66666.666666666672</v>
      </c>
      <c r="D16" s="17" t="s">
        <v>34</v>
      </c>
      <c r="E16" s="18"/>
    </row>
    <row r="17" spans="1:5">
      <c r="A17" s="19" t="s">
        <v>75</v>
      </c>
      <c r="B17" s="17" t="s">
        <v>72</v>
      </c>
      <c r="C17" s="25">
        <v>0.28999999999999998</v>
      </c>
      <c r="D17" s="17"/>
      <c r="E17" s="18"/>
    </row>
    <row r="18" spans="1:5" ht="17" thickBot="1">
      <c r="A18" s="34" t="s">
        <v>73</v>
      </c>
      <c r="B18" s="16" t="s">
        <v>74</v>
      </c>
      <c r="C18" s="38">
        <f>0.5*E/(1+v)</f>
        <v>25839.793281653747</v>
      </c>
      <c r="D18" s="16"/>
      <c r="E18" s="39" t="s">
        <v>96</v>
      </c>
    </row>
    <row r="19" spans="1:5">
      <c r="A19" s="30" t="s">
        <v>68</v>
      </c>
      <c r="B19" s="31"/>
      <c r="C19" s="37"/>
      <c r="D19" s="31"/>
      <c r="E19" s="33"/>
    </row>
    <row r="20" spans="1:5">
      <c r="A20" s="19" t="s">
        <v>69</v>
      </c>
      <c r="B20" s="17" t="s">
        <v>77</v>
      </c>
      <c r="C20" s="26">
        <f>((Lya/2)*Mxay/(IPy*G))/2</f>
        <v>3.1203439613340948E-5</v>
      </c>
      <c r="D20" s="17" t="s">
        <v>76</v>
      </c>
      <c r="E20" s="27" t="s">
        <v>95</v>
      </c>
    </row>
    <row r="21" spans="1:5">
      <c r="A21" s="19" t="s">
        <v>78</v>
      </c>
      <c r="B21" s="17" t="s">
        <v>79</v>
      </c>
      <c r="C21" s="28">
        <f>9.8*Mxa*Lya^3/(48*E*IPYY)</f>
        <v>7.5589727745496481E-3</v>
      </c>
      <c r="D21" s="17" t="s">
        <v>5</v>
      </c>
      <c r="E21" s="29" t="s">
        <v>97</v>
      </c>
    </row>
    <row r="22" spans="1:5">
      <c r="A22" s="19" t="s">
        <v>80</v>
      </c>
      <c r="B22" s="17"/>
      <c r="C22" s="21"/>
      <c r="D22" s="17"/>
      <c r="E22" s="18"/>
    </row>
    <row r="23" spans="1:5">
      <c r="A23" s="19" t="s">
        <v>84</v>
      </c>
      <c r="B23" s="17" t="s">
        <v>83</v>
      </c>
      <c r="C23" s="28">
        <f>Lyfx*thetay</f>
        <v>1.872206376800457E-2</v>
      </c>
      <c r="D23" s="17" t="s">
        <v>5</v>
      </c>
      <c r="E23" s="29" t="s">
        <v>98</v>
      </c>
    </row>
    <row r="24" spans="1:5">
      <c r="A24" s="19" t="s">
        <v>85</v>
      </c>
      <c r="B24" s="17" t="s">
        <v>86</v>
      </c>
      <c r="C24" s="26">
        <f>Lyfx*(1-COS(thetay))</f>
        <v>2.9209641372318629E-7</v>
      </c>
      <c r="D24" s="17" t="s">
        <v>5</v>
      </c>
      <c r="E24" s="27" t="s">
        <v>99</v>
      </c>
    </row>
    <row r="25" spans="1:5">
      <c r="A25" s="19" t="s">
        <v>87</v>
      </c>
      <c r="B25" s="17"/>
      <c r="C25" s="21"/>
      <c r="D25" s="17"/>
      <c r="E25" s="18"/>
    </row>
    <row r="26" spans="1:5">
      <c r="A26" s="19" t="s">
        <v>88</v>
      </c>
      <c r="B26" s="17" t="s">
        <v>89</v>
      </c>
      <c r="C26" s="28">
        <f>ATAN(Ltt/Lyfx)</f>
        <v>0.5880026035475675</v>
      </c>
      <c r="D26" s="17" t="s">
        <v>76</v>
      </c>
      <c r="E26" s="29" t="s">
        <v>100</v>
      </c>
    </row>
    <row r="27" spans="1:5">
      <c r="A27" s="19" t="s">
        <v>90</v>
      </c>
      <c r="B27" s="17" t="s">
        <v>91</v>
      </c>
      <c r="C27" s="28">
        <f>Lyfx*SIN(thetay)*SIN(thetatt)</f>
        <v>1.0385132444168129E-2</v>
      </c>
      <c r="D27" s="17" t="s">
        <v>5</v>
      </c>
      <c r="E27" s="29" t="s">
        <v>101</v>
      </c>
    </row>
  </sheetData>
  <mergeCells count="2"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21</vt:i4>
      </vt:variant>
    </vt:vector>
  </HeadingPairs>
  <TitlesOfParts>
    <vt:vector size="23" baseType="lpstr">
      <vt:lpstr>round v square</vt:lpstr>
      <vt:lpstr>X axis with cant Y</vt:lpstr>
      <vt:lpstr>deltaxsin</vt:lpstr>
      <vt:lpstr>deltaxz</vt:lpstr>
      <vt:lpstr>deltayz</vt:lpstr>
      <vt:lpstr>E</vt:lpstr>
      <vt:lpstr>G</vt:lpstr>
      <vt:lpstr>IPy</vt:lpstr>
      <vt:lpstr>IPYY</vt:lpstr>
      <vt:lpstr>Ltt</vt:lpstr>
      <vt:lpstr>Lya</vt:lpstr>
      <vt:lpstr>Lyfx</vt:lpstr>
      <vt:lpstr>Mxa</vt:lpstr>
      <vt:lpstr>Mxay</vt:lpstr>
      <vt:lpstr>ODy</vt:lpstr>
      <vt:lpstr>R_OD</vt:lpstr>
      <vt:lpstr>R_wall</vt:lpstr>
      <vt:lpstr>S_OD</vt:lpstr>
      <vt:lpstr>S_wall</vt:lpstr>
      <vt:lpstr>thetatt</vt:lpstr>
      <vt:lpstr>thetay</vt:lpstr>
      <vt:lpstr>ty</vt:lpstr>
      <vt:lpstr>v</vt:lpstr>
    </vt:vector>
  </TitlesOfParts>
  <Company>Mechanical Engineering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Slocum</dc:creator>
  <cp:lastModifiedBy>Microsoft Office User</cp:lastModifiedBy>
  <dcterms:created xsi:type="dcterms:W3CDTF">2017-04-24T10:36:13Z</dcterms:created>
  <dcterms:modified xsi:type="dcterms:W3CDTF">2019-09-06T14:18:48Z</dcterms:modified>
</cp:coreProperties>
</file>