
<file path=[Content_Types].xml><?xml version="1.0" encoding="utf-8"?>
<Types xmlns="http://schemas.openxmlformats.org/package/2006/content-types">
  <Default Extension="xml" ContentType="application/xml"/>
  <Default Extension="jpeg" ContentType="image/jpeg"/>
  <Default Extension="jpg" ContentType="image/jpeg"/>
  <Default Extension="emf" ContentType="image/x-emf"/>
  <Default Extension="rels" ContentType="application/vnd.openxmlformats-package.relationships+xml"/>
  <Default Extension="vml" ContentType="application/vnd.openxmlformats-officedocument.vmlDrawing"/>
  <Default Extension="gif" ContentType="image/gif"/>
  <Default Extension="wmf" ContentType="image/x-wmf"/>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7729"/>
  <workbookPr showInkAnnotation="0" autoCompressPictures="0"/>
  <bookViews>
    <workbookView xWindow="0" yWindow="0" windowWidth="25600" windowHeight="19040" tabRatio="908"/>
  </bookViews>
  <sheets>
    <sheet name="Summary" sheetId="7" r:id="rId1"/>
    <sheet name="CSs and Loads" sheetId="18" r:id="rId2"/>
    <sheet name="Edit History" sheetId="33" r:id="rId3"/>
    <sheet name="CS_1 Y carriage and table" sheetId="21" r:id="rId4"/>
    <sheet name="CS_2 vertical axis" sheetId="22" r:id="rId5"/>
    <sheet name="CS_3 Z-Axis" sheetId="24" r:id="rId6"/>
    <sheet name="CS_4 Y-Axis" sheetId="25" r:id="rId7"/>
    <sheet name="CS_5 Bridge" sheetId="26" r:id="rId8"/>
    <sheet name="CS_6 X-axis" sheetId="27" r:id="rId9"/>
    <sheet name="CS_7 Bed"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21" i="18" l="1"/>
  <c r="C25" i="18"/>
  <c r="B11" i="22"/>
  <c r="G5" i="22"/>
  <c r="B19" i="22"/>
  <c r="B18" i="22"/>
  <c r="B17" i="22"/>
  <c r="B16" i="22"/>
  <c r="L6" i="21"/>
  <c r="B18" i="21"/>
  <c r="B17" i="21"/>
  <c r="H17" i="7"/>
  <c r="C26" i="21"/>
  <c r="B19" i="21"/>
  <c r="J8" i="21"/>
  <c r="L10" i="21"/>
  <c r="K9" i="21"/>
  <c r="H10" i="21"/>
  <c r="K7" i="21"/>
  <c r="I9" i="21"/>
  <c r="I7" i="21"/>
  <c r="H6" i="21"/>
  <c r="B16" i="21"/>
  <c r="G5" i="21"/>
  <c r="F17" i="8"/>
  <c r="D14" i="8"/>
  <c r="F19" i="8"/>
  <c r="H41" i="21"/>
  <c r="H39" i="21"/>
  <c r="I40" i="21"/>
  <c r="J40" i="21"/>
  <c r="K40" i="21"/>
  <c r="I41" i="21"/>
  <c r="J41" i="21"/>
  <c r="K41" i="21"/>
  <c r="I39" i="21"/>
  <c r="J39" i="21"/>
  <c r="K39" i="21"/>
  <c r="H40" i="21"/>
  <c r="I37" i="21"/>
  <c r="J37" i="21"/>
  <c r="K37" i="21"/>
  <c r="H37" i="21"/>
  <c r="J35" i="21"/>
  <c r="K35" i="21"/>
  <c r="I35" i="21"/>
  <c r="H35" i="21"/>
  <c r="H48" i="21"/>
  <c r="I48" i="21"/>
  <c r="J48" i="21"/>
  <c r="K48" i="21"/>
  <c r="H49" i="21"/>
  <c r="I49" i="21"/>
  <c r="J49" i="21"/>
  <c r="K49" i="21"/>
  <c r="I47" i="21"/>
  <c r="J47" i="21"/>
  <c r="K47" i="21"/>
  <c r="B11" i="21"/>
  <c r="A19" i="33"/>
  <c r="A20" i="33"/>
  <c r="C55" i="18"/>
  <c r="E41" i="18"/>
  <c r="E42" i="18"/>
  <c r="E43" i="18"/>
  <c r="C65" i="18" a="1"/>
  <c r="C65" i="18"/>
  <c r="E37" i="18"/>
  <c r="E38" i="18"/>
  <c r="E39" i="18"/>
  <c r="C61" i="18" a="1"/>
  <c r="C63" i="18"/>
  <c r="C62" i="18"/>
  <c r="E74" i="18"/>
  <c r="C66" i="18"/>
  <c r="C61" i="18"/>
  <c r="E75" i="18"/>
  <c r="C67" i="18"/>
  <c r="E76" i="18"/>
  <c r="C98" i="18" a="1"/>
  <c r="C98" i="18"/>
  <c r="E70" i="18"/>
  <c r="E71" i="18"/>
  <c r="E72" i="18"/>
  <c r="C94" i="18" a="1"/>
  <c r="C96" i="18"/>
  <c r="C95" i="18"/>
  <c r="E107" i="18"/>
  <c r="C99" i="18"/>
  <c r="C94" i="18"/>
  <c r="E108" i="18"/>
  <c r="C100" i="18"/>
  <c r="E109" i="18"/>
  <c r="C131" i="18" a="1"/>
  <c r="C131" i="18"/>
  <c r="E103" i="18"/>
  <c r="E104" i="18"/>
  <c r="E105" i="18"/>
  <c r="C127" i="18" a="1"/>
  <c r="C129" i="18"/>
  <c r="C128" i="18"/>
  <c r="E140" i="18"/>
  <c r="C132" i="18"/>
  <c r="C127" i="18"/>
  <c r="E141" i="18"/>
  <c r="C133" i="18"/>
  <c r="E142" i="18"/>
  <c r="C164" i="18" a="1"/>
  <c r="C164" i="18"/>
  <c r="C120" i="18"/>
  <c r="E136" i="18"/>
  <c r="E137" i="18"/>
  <c r="E138" i="18"/>
  <c r="C160" i="18" a="1"/>
  <c r="C162" i="18"/>
  <c r="C161" i="18"/>
  <c r="E173" i="18"/>
  <c r="C165" i="18"/>
  <c r="C160" i="18"/>
  <c r="E174" i="18"/>
  <c r="C166" i="18"/>
  <c r="E175" i="18"/>
  <c r="C197" i="18" a="1"/>
  <c r="C197" i="18"/>
  <c r="E169" i="18"/>
  <c r="E170" i="18"/>
  <c r="E171" i="18"/>
  <c r="C193" i="18" a="1"/>
  <c r="C195" i="18"/>
  <c r="C194" i="18"/>
  <c r="E206" i="18"/>
  <c r="C198" i="18"/>
  <c r="C193" i="18"/>
  <c r="E207" i="18"/>
  <c r="C199" i="18"/>
  <c r="E208" i="18"/>
  <c r="C230" i="18" a="1"/>
  <c r="C230" i="18"/>
  <c r="C186" i="18"/>
  <c r="C187" i="18"/>
  <c r="E202" i="18"/>
  <c r="E203" i="18"/>
  <c r="E204" i="18"/>
  <c r="C226" i="18" a="1"/>
  <c r="C228" i="18"/>
  <c r="C227" i="18"/>
  <c r="E239" i="18"/>
  <c r="C231" i="18"/>
  <c r="C185" i="18"/>
  <c r="C226" i="18"/>
  <c r="E240" i="18"/>
  <c r="C232" i="18"/>
  <c r="E241" i="18"/>
  <c r="C263" i="18" a="1"/>
  <c r="C263" i="18"/>
  <c r="E235" i="18"/>
  <c r="E236" i="18"/>
  <c r="E237" i="18"/>
  <c r="C259" i="18" a="1"/>
  <c r="C261" i="18"/>
  <c r="C260" i="18"/>
  <c r="E272" i="18"/>
  <c r="C264" i="18"/>
  <c r="C259" i="18"/>
  <c r="E273" i="18"/>
  <c r="C265" i="18"/>
  <c r="E274" i="18"/>
  <c r="C296" i="18" a="1"/>
  <c r="C296" i="18"/>
  <c r="E268" i="18"/>
  <c r="E269" i="18"/>
  <c r="E270" i="18"/>
  <c r="C292" i="18" a="1"/>
  <c r="C294" i="18"/>
  <c r="C293" i="18"/>
  <c r="E305" i="18"/>
  <c r="C297" i="18"/>
  <c r="C292" i="18"/>
  <c r="E306" i="18"/>
  <c r="C298" i="18"/>
  <c r="E307" i="18"/>
  <c r="C329" i="18" a="1"/>
  <c r="C329" i="18"/>
  <c r="M328" i="18"/>
  <c r="C330" i="18"/>
  <c r="M329" i="18"/>
  <c r="C331" i="18"/>
  <c r="M330" i="18"/>
  <c r="E301" i="18"/>
  <c r="E302" i="18"/>
  <c r="E303" i="18"/>
  <c r="C325" i="18" a="1"/>
  <c r="C325" i="18"/>
  <c r="M325" i="18"/>
  <c r="C326" i="18"/>
  <c r="M326" i="18"/>
  <c r="C327" i="18"/>
  <c r="M327" i="18"/>
  <c r="F325" i="18" a="1"/>
  <c r="F330" i="18"/>
  <c r="A314" i="18"/>
  <c r="J287" i="18"/>
  <c r="F329" i="18"/>
  <c r="J286" i="18"/>
  <c r="F328" i="18"/>
  <c r="J285" i="18"/>
  <c r="M295" i="18"/>
  <c r="M296" i="18"/>
  <c r="M297" i="18"/>
  <c r="M292" i="18"/>
  <c r="M293" i="18"/>
  <c r="M294" i="18"/>
  <c r="F292" i="18" a="1"/>
  <c r="F297" i="18"/>
  <c r="A281" i="18"/>
  <c r="J254" i="18"/>
  <c r="F296" i="18"/>
  <c r="J253" i="18"/>
  <c r="F295" i="18"/>
  <c r="J252" i="18"/>
  <c r="M262" i="18"/>
  <c r="M263" i="18"/>
  <c r="M264" i="18"/>
  <c r="M259" i="18"/>
  <c r="M260" i="18"/>
  <c r="M261" i="18"/>
  <c r="F259" i="18" a="1"/>
  <c r="F264" i="18"/>
  <c r="A248" i="18"/>
  <c r="J221" i="18"/>
  <c r="F263" i="18"/>
  <c r="J220" i="18"/>
  <c r="F262" i="18"/>
  <c r="J219" i="18"/>
  <c r="B11" i="28"/>
  <c r="L5" i="28"/>
  <c r="L226" i="18"/>
  <c r="I7" i="28"/>
  <c r="I228" i="18"/>
  <c r="I8" i="28"/>
  <c r="J7" i="28"/>
  <c r="J228" i="18"/>
  <c r="I229" i="18"/>
  <c r="J8" i="28"/>
  <c r="J229" i="18"/>
  <c r="K9" i="28"/>
  <c r="K230" i="18"/>
  <c r="G10" i="28"/>
  <c r="G231" i="18"/>
  <c r="M229" i="18"/>
  <c r="M230" i="18"/>
  <c r="M231" i="18"/>
  <c r="M226" i="18"/>
  <c r="M227" i="18"/>
  <c r="M228" i="18"/>
  <c r="F226" i="18" a="1"/>
  <c r="F231" i="18"/>
  <c r="A215" i="18"/>
  <c r="J188" i="18"/>
  <c r="F230" i="18"/>
  <c r="J187" i="18"/>
  <c r="F229" i="18"/>
  <c r="J186" i="18"/>
  <c r="M196" i="18"/>
  <c r="M197" i="18"/>
  <c r="M198" i="18"/>
  <c r="M193" i="18"/>
  <c r="M194" i="18"/>
  <c r="M195" i="18"/>
  <c r="F193" i="18" a="1"/>
  <c r="F198" i="18"/>
  <c r="A182" i="18"/>
  <c r="J155" i="18"/>
  <c r="F197" i="18"/>
  <c r="J154" i="18"/>
  <c r="F196" i="18"/>
  <c r="J153" i="18"/>
  <c r="G5" i="26"/>
  <c r="G160" i="18"/>
  <c r="L5" i="26"/>
  <c r="L160" i="18"/>
  <c r="H6" i="26"/>
  <c r="H161" i="18"/>
  <c r="A149" i="18"/>
  <c r="M130" i="18"/>
  <c r="M131" i="18"/>
  <c r="M132" i="18"/>
  <c r="M127" i="18"/>
  <c r="M128" i="18"/>
  <c r="M129" i="18"/>
  <c r="F127" i="18" a="1"/>
  <c r="F132" i="18"/>
  <c r="A116" i="18"/>
  <c r="J89" i="18"/>
  <c r="F131" i="18"/>
  <c r="J88" i="18"/>
  <c r="F130" i="18"/>
  <c r="J87" i="18"/>
  <c r="B11" i="24"/>
  <c r="G5" i="24"/>
  <c r="G94" i="18"/>
  <c r="G9" i="24"/>
  <c r="K5" i="24"/>
  <c r="K94" i="18"/>
  <c r="H6" i="24"/>
  <c r="H95" i="18"/>
  <c r="J6" i="24"/>
  <c r="J95" i="18"/>
  <c r="H8" i="24"/>
  <c r="H97" i="18"/>
  <c r="J8" i="24"/>
  <c r="J97" i="18"/>
  <c r="G98" i="18"/>
  <c r="K9" i="24"/>
  <c r="K98" i="18"/>
  <c r="L10" i="24"/>
  <c r="L99" i="18"/>
  <c r="M97" i="18"/>
  <c r="M98" i="18"/>
  <c r="M99" i="18"/>
  <c r="M94" i="18"/>
  <c r="M95" i="18"/>
  <c r="M96" i="18"/>
  <c r="F94" i="18" a="1"/>
  <c r="F99" i="18"/>
  <c r="A83" i="18"/>
  <c r="J56" i="18"/>
  <c r="F98" i="18"/>
  <c r="J55" i="18"/>
  <c r="F97" i="18"/>
  <c r="J54" i="18"/>
  <c r="A50" i="18"/>
  <c r="M64" i="18"/>
  <c r="M65" i="18"/>
  <c r="M66" i="18"/>
  <c r="M61" i="18"/>
  <c r="M62" i="18"/>
  <c r="M63" i="18"/>
  <c r="G61" i="18"/>
  <c r="K5" i="22"/>
  <c r="K61" i="18"/>
  <c r="H6" i="22"/>
  <c r="H62" i="18"/>
  <c r="J6" i="22"/>
  <c r="J62" i="18"/>
  <c r="I7" i="22"/>
  <c r="I63" i="18"/>
  <c r="H8" i="22"/>
  <c r="H64" i="18"/>
  <c r="J8" i="22"/>
  <c r="J64" i="18"/>
  <c r="G9" i="22"/>
  <c r="G65" i="18"/>
  <c r="K9" i="22"/>
  <c r="K65" i="18"/>
  <c r="L10" i="22"/>
  <c r="L66" i="18"/>
  <c r="F61" i="18" a="1"/>
  <c r="F66" i="18"/>
  <c r="J23" i="18"/>
  <c r="F65" i="18"/>
  <c r="J22" i="18"/>
  <c r="F64" i="18"/>
  <c r="J21" i="18"/>
  <c r="B20" i="21"/>
  <c r="B9" i="21"/>
  <c r="C154" i="18"/>
  <c r="D18" i="25"/>
  <c r="D18" i="27"/>
  <c r="B11" i="27"/>
  <c r="B12" i="28"/>
  <c r="K31" i="22"/>
  <c r="J31" i="22"/>
  <c r="I31" i="22"/>
  <c r="H31" i="22"/>
  <c r="B15" i="27"/>
  <c r="B14" i="27"/>
  <c r="B13" i="27"/>
  <c r="B15" i="26"/>
  <c r="B14" i="26"/>
  <c r="B13" i="26"/>
  <c r="C119" i="18"/>
  <c r="D20" i="27"/>
  <c r="C25" i="27"/>
  <c r="D20" i="25"/>
  <c r="J36" i="25"/>
  <c r="K36" i="25"/>
  <c r="I36" i="25"/>
  <c r="H36" i="25"/>
  <c r="J34" i="25"/>
  <c r="K34" i="25"/>
  <c r="I34" i="25"/>
  <c r="H34" i="25"/>
  <c r="K35" i="24"/>
  <c r="J35" i="24"/>
  <c r="I35" i="24"/>
  <c r="H35" i="24"/>
  <c r="H33" i="22"/>
  <c r="I33" i="22"/>
  <c r="J33" i="22"/>
  <c r="K33" i="22"/>
  <c r="H37" i="22"/>
  <c r="I37" i="22"/>
  <c r="J37" i="22"/>
  <c r="K37" i="22"/>
  <c r="I36" i="22"/>
  <c r="J36" i="22"/>
  <c r="K36" i="22"/>
  <c r="H36" i="22"/>
  <c r="J35" i="22"/>
  <c r="K35" i="22"/>
  <c r="I35" i="22"/>
  <c r="H35" i="22"/>
  <c r="D7" i="22"/>
  <c r="I7" i="24"/>
  <c r="C25" i="29"/>
  <c r="C25" i="30"/>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H227" i="18"/>
  <c r="I227" i="18"/>
  <c r="J227" i="18"/>
  <c r="K227" i="18"/>
  <c r="L227" i="18"/>
  <c r="G228" i="18"/>
  <c r="H228" i="18"/>
  <c r="K228" i="18"/>
  <c r="L228" i="18"/>
  <c r="G229" i="18"/>
  <c r="H229" i="18"/>
  <c r="K229" i="18"/>
  <c r="L229" i="18"/>
  <c r="G230" i="18"/>
  <c r="H230" i="18"/>
  <c r="I230" i="18"/>
  <c r="J230" i="18"/>
  <c r="L230" i="18"/>
  <c r="H231" i="18"/>
  <c r="I231" i="18"/>
  <c r="J231" i="18"/>
  <c r="K231" i="18"/>
  <c r="L231" i="18"/>
  <c r="H226" i="18"/>
  <c r="I226" i="18"/>
  <c r="J226" i="18"/>
  <c r="K226" i="18"/>
  <c r="G5" i="28"/>
  <c r="G226" i="18"/>
  <c r="G194" i="18"/>
  <c r="B17" i="27"/>
  <c r="H6" i="27"/>
  <c r="H194" i="18"/>
  <c r="I194" i="18"/>
  <c r="J6" i="27"/>
  <c r="J194" i="18"/>
  <c r="K194" i="18"/>
  <c r="L194" i="18"/>
  <c r="G195" i="18"/>
  <c r="H195" i="18"/>
  <c r="B16" i="27"/>
  <c r="I7" i="27"/>
  <c r="I195" i="18"/>
  <c r="J195" i="18"/>
  <c r="K195" i="18"/>
  <c r="L195" i="18"/>
  <c r="G196" i="18"/>
  <c r="H8" i="27"/>
  <c r="H196" i="18"/>
  <c r="I196" i="18"/>
  <c r="J8" i="27"/>
  <c r="J196" i="18"/>
  <c r="K196" i="18"/>
  <c r="L196" i="18"/>
  <c r="B18" i="27"/>
  <c r="G9" i="27"/>
  <c r="G197" i="18"/>
  <c r="H197" i="18"/>
  <c r="I197" i="18"/>
  <c r="J197" i="18"/>
  <c r="K9" i="27"/>
  <c r="K197" i="18"/>
  <c r="L197" i="18"/>
  <c r="G198" i="18"/>
  <c r="H198" i="18"/>
  <c r="I198" i="18"/>
  <c r="J198" i="18"/>
  <c r="K198" i="18"/>
  <c r="G5" i="27"/>
  <c r="B19" i="27"/>
  <c r="L10" i="27"/>
  <c r="L198" i="18"/>
  <c r="H193" i="18"/>
  <c r="I193" i="18"/>
  <c r="J193" i="18"/>
  <c r="K5" i="27"/>
  <c r="K193" i="18"/>
  <c r="L193" i="18"/>
  <c r="G193" i="18"/>
  <c r="G161" i="18"/>
  <c r="B16" i="26"/>
  <c r="I161" i="18"/>
  <c r="J161" i="18"/>
  <c r="K161" i="18"/>
  <c r="L161" i="18"/>
  <c r="G162" i="18"/>
  <c r="H162" i="18"/>
  <c r="B18" i="26"/>
  <c r="I7" i="26"/>
  <c r="I162" i="18"/>
  <c r="I8" i="26"/>
  <c r="J7" i="26"/>
  <c r="J162" i="18"/>
  <c r="K162" i="18"/>
  <c r="L162" i="18"/>
  <c r="G163" i="18"/>
  <c r="H163" i="18"/>
  <c r="I163" i="18"/>
  <c r="J8" i="26"/>
  <c r="J163" i="18"/>
  <c r="K163" i="18"/>
  <c r="L163" i="18"/>
  <c r="G164" i="18"/>
  <c r="H164" i="18"/>
  <c r="I164" i="18"/>
  <c r="J164" i="18"/>
  <c r="B19" i="26"/>
  <c r="K9" i="26"/>
  <c r="K164" i="18"/>
  <c r="L164" i="18"/>
  <c r="B17" i="26"/>
  <c r="G10" i="26"/>
  <c r="G165" i="18"/>
  <c r="H165" i="18"/>
  <c r="I165" i="18"/>
  <c r="J165" i="18"/>
  <c r="K165" i="18"/>
  <c r="L10" i="26"/>
  <c r="L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I95" i="18"/>
  <c r="K95" i="18"/>
  <c r="L95" i="18"/>
  <c r="G96" i="18"/>
  <c r="H96" i="18"/>
  <c r="I96" i="18"/>
  <c r="J96" i="18"/>
  <c r="K96" i="18"/>
  <c r="L96" i="18"/>
  <c r="G97" i="18"/>
  <c r="I97" i="18"/>
  <c r="K97" i="18"/>
  <c r="L97" i="18"/>
  <c r="H98" i="18"/>
  <c r="I98" i="18"/>
  <c r="J98" i="18"/>
  <c r="L98" i="18"/>
  <c r="G99" i="18"/>
  <c r="H99" i="18"/>
  <c r="I99" i="18"/>
  <c r="J99" i="18"/>
  <c r="K99" i="18"/>
  <c r="H94" i="18"/>
  <c r="I94" i="18"/>
  <c r="J94" i="18"/>
  <c r="L94" i="18"/>
  <c r="G62" i="18"/>
  <c r="I62" i="18"/>
  <c r="K62" i="18"/>
  <c r="L62" i="18"/>
  <c r="G63" i="18"/>
  <c r="H63" i="18"/>
  <c r="J63" i="18"/>
  <c r="K63" i="18"/>
  <c r="L63" i="18"/>
  <c r="G64" i="18"/>
  <c r="I64" i="18"/>
  <c r="K64" i="18"/>
  <c r="L64" i="18"/>
  <c r="H65" i="18"/>
  <c r="I65" i="18"/>
  <c r="J65" i="18"/>
  <c r="L65" i="18"/>
  <c r="G66" i="18"/>
  <c r="H66" i="18"/>
  <c r="I66" i="18"/>
  <c r="J66" i="18"/>
  <c r="K66" i="18"/>
  <c r="H61" i="18"/>
  <c r="I61" i="18"/>
  <c r="J61" i="18"/>
  <c r="L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I43" i="21"/>
  <c r="J43" i="21"/>
  <c r="K43" i="21"/>
  <c r="I44" i="21"/>
  <c r="J44" i="21"/>
  <c r="K44" i="21"/>
  <c r="I45" i="21"/>
  <c r="J45" i="21"/>
  <c r="K45" i="21"/>
  <c r="B21" i="22"/>
  <c r="B20" i="22"/>
  <c r="B9" i="22"/>
  <c r="D20" i="24"/>
  <c r="C27" i="24"/>
  <c r="B7" i="24"/>
  <c r="B14" i="24"/>
  <c r="B13" i="24"/>
  <c r="B15" i="24"/>
  <c r="B18" i="24"/>
  <c r="B21" i="24"/>
  <c r="B16" i="24"/>
  <c r="B20" i="24"/>
  <c r="B19" i="24"/>
  <c r="B17" i="24"/>
  <c r="B9" i="24"/>
  <c r="S66" i="26"/>
  <c r="B9" i="26"/>
  <c r="B21" i="26"/>
  <c r="B20" i="26"/>
  <c r="B7" i="27"/>
  <c r="B21" i="27"/>
  <c r="B20" i="27"/>
  <c r="B9" i="27"/>
  <c r="D20" i="31"/>
  <c r="D20" i="30"/>
  <c r="D20" i="29"/>
  <c r="D20" i="26"/>
  <c r="D20" i="22"/>
  <c r="D20" i="21"/>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7" i="25"/>
  <c r="D13" i="25"/>
  <c r="D14" i="25"/>
  <c r="D12" i="25"/>
  <c r="D6" i="25"/>
  <c r="D10" i="25"/>
  <c r="D7" i="24"/>
  <c r="D13" i="24"/>
  <c r="D14" i="24"/>
  <c r="D12" i="24"/>
  <c r="D6" i="24"/>
  <c r="D10" i="24"/>
  <c r="D13" i="22"/>
  <c r="D14" i="22"/>
  <c r="D12" i="22"/>
  <c r="D10" i="22"/>
  <c r="D7" i="21"/>
  <c r="D13" i="21"/>
  <c r="D14" i="21"/>
  <c r="D12" i="21"/>
  <c r="D6" i="21"/>
  <c r="D10" i="21"/>
  <c r="D7" i="28"/>
  <c r="D13" i="28"/>
  <c r="H40" i="28"/>
  <c r="D14" i="28"/>
  <c r="H39" i="28"/>
  <c r="D12" i="28"/>
  <c r="H38" i="28"/>
  <c r="D6" i="28"/>
  <c r="D10" i="28"/>
  <c r="B15" i="28"/>
  <c r="B16" i="28"/>
  <c r="B7" i="28"/>
  <c r="H6" i="28"/>
  <c r="B13" i="28"/>
  <c r="B17" i="28"/>
  <c r="B18"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47"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36"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F22" i="18"/>
  <c r="B27" i="21"/>
  <c r="H23" i="18"/>
  <c r="F23" i="18"/>
  <c r="B18" i="9"/>
  <c r="B25" i="21"/>
  <c r="H21" i="18"/>
  <c r="F21" i="18"/>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B31" i="21"/>
  <c r="H44" i="21"/>
  <c r="L44" i="21"/>
  <c r="M44" i="21"/>
  <c r="N44" i="21"/>
  <c r="O44" i="21"/>
  <c r="P44" i="21"/>
  <c r="Q44" i="21"/>
  <c r="R44" i="21"/>
  <c r="S44" i="21"/>
  <c r="B30" i="21"/>
  <c r="H43"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34" i="7"/>
  <c r="A41"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12" i="34"/>
  <c r="B16" i="34"/>
  <c r="B13" i="34"/>
  <c r="B17" i="34"/>
  <c r="B11" i="34"/>
  <c r="B15" i="34"/>
  <c r="B6" i="34"/>
  <c r="B7" i="34"/>
  <c r="D18" i="8"/>
  <c r="D17" i="8"/>
  <c r="B23" i="8"/>
  <c r="D6" i="8"/>
  <c r="D12" i="8"/>
  <c r="B20" i="8"/>
  <c r="D8" i="8"/>
  <c r="B22" i="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7" i="33"/>
  <c r="A8" i="33"/>
  <c r="A9" i="33"/>
  <c r="A10" i="33"/>
  <c r="A11" i="33"/>
  <c r="A12" i="33"/>
  <c r="A13" i="33"/>
  <c r="A14" i="33"/>
  <c r="A15" i="33"/>
  <c r="A16" i="33"/>
  <c r="A17" i="33"/>
  <c r="A18" i="33"/>
  <c r="A21" i="33"/>
  <c r="A22" i="33"/>
  <c r="A23" i="33"/>
  <c r="A24" i="33"/>
  <c r="A25" i="33"/>
  <c r="A26" i="33"/>
  <c r="A27" i="33"/>
  <c r="A28" i="33"/>
  <c r="A29" i="33"/>
  <c r="A30" i="33"/>
  <c r="A31" i="33"/>
  <c r="A32" i="33"/>
  <c r="A33" i="33"/>
  <c r="A34" i="33"/>
  <c r="A35" i="33"/>
  <c r="A36" i="33"/>
  <c r="A37" i="33"/>
  <c r="B14" i="7"/>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AC33" i="18" a="1"/>
  <c r="AC33" i="18"/>
  <c r="C24" i="18"/>
  <c r="C46" i="18"/>
  <c r="AC61" i="18"/>
  <c r="AC34"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C330" i="18" a="1"/>
  <c r="AC330" i="18"/>
  <c r="C321" i="18"/>
  <c r="AC331" i="18"/>
  <c r="C322" i="18"/>
  <c r="AC332" i="18"/>
  <c r="C323" i="18"/>
  <c r="AC333" i="18"/>
  <c r="AU61" i="18" a="1"/>
  <c r="AU61" i="18"/>
  <c r="AV61" i="18"/>
  <c r="AW61" i="18"/>
  <c r="O62" i="18"/>
  <c r="AU62" i="18"/>
  <c r="AV62" i="18"/>
  <c r="AW62" i="18"/>
  <c r="O63" i="18"/>
  <c r="AU63" i="18"/>
  <c r="AV63" i="18"/>
  <c r="AW63" i="18"/>
  <c r="O64" i="18"/>
  <c r="AZ61" i="18" a="1"/>
  <c r="AZ61" i="18"/>
  <c r="BA61" i="18"/>
  <c r="BB61" i="18"/>
  <c r="P62" i="18"/>
  <c r="AZ62" i="18"/>
  <c r="BA62" i="18"/>
  <c r="BB62" i="18"/>
  <c r="P63" i="18"/>
  <c r="AZ63" i="18"/>
  <c r="BA63" i="18"/>
  <c r="BB63" i="18"/>
  <c r="P64" i="18"/>
  <c r="BE61" i="18" a="1"/>
  <c r="BE61" i="18"/>
  <c r="BF61" i="18"/>
  <c r="BG61" i="18"/>
  <c r="Q62" i="18"/>
  <c r="BE62" i="18"/>
  <c r="BF62" i="18"/>
  <c r="BG62" i="18"/>
  <c r="Q63" i="18"/>
  <c r="BE63" i="18"/>
  <c r="BF63" i="18"/>
  <c r="BG63" i="18"/>
  <c r="Q64" i="18"/>
  <c r="AU94" i="18" a="1"/>
  <c r="AU94" i="18"/>
  <c r="AV94" i="18"/>
  <c r="AW94" i="18"/>
  <c r="O95" i="18"/>
  <c r="AU95" i="18"/>
  <c r="AV95" i="18"/>
  <c r="AW95" i="18"/>
  <c r="O96" i="18"/>
  <c r="AU96" i="18"/>
  <c r="AV96" i="18"/>
  <c r="AW96" i="18"/>
  <c r="O97" i="18"/>
  <c r="AZ94" i="18" a="1"/>
  <c r="AZ94" i="18"/>
  <c r="BA94" i="18"/>
  <c r="BB94" i="18"/>
  <c r="P95" i="18"/>
  <c r="AZ95" i="18"/>
  <c r="BA95" i="18"/>
  <c r="BB95" i="18"/>
  <c r="P96" i="18"/>
  <c r="AZ96" i="18"/>
  <c r="BA96" i="18"/>
  <c r="BB96" i="18"/>
  <c r="P97" i="18"/>
  <c r="BE94" i="18" a="1"/>
  <c r="BE94" i="18"/>
  <c r="BF94" i="18"/>
  <c r="BG94" i="18"/>
  <c r="Q95" i="18"/>
  <c r="BE95" i="18"/>
  <c r="BF95" i="18"/>
  <c r="BG95" i="18"/>
  <c r="Q96" i="18"/>
  <c r="BE96" i="18"/>
  <c r="BF96" i="18"/>
  <c r="BG96" i="18"/>
  <c r="Q97" i="18"/>
  <c r="AU127" i="18" a="1"/>
  <c r="AU127" i="18"/>
  <c r="AV127" i="18"/>
  <c r="AW127" i="18"/>
  <c r="O128" i="18"/>
  <c r="AU128" i="18"/>
  <c r="AV128" i="18"/>
  <c r="AW128" i="18"/>
  <c r="O129" i="18"/>
  <c r="AU129" i="18"/>
  <c r="AV129" i="18"/>
  <c r="AW129" i="18"/>
  <c r="O130" i="18"/>
  <c r="AZ127" i="18" a="1"/>
  <c r="AZ127" i="18"/>
  <c r="BA127" i="18"/>
  <c r="BB127" i="18"/>
  <c r="P128" i="18"/>
  <c r="AZ128" i="18"/>
  <c r="BA128" i="18"/>
  <c r="BB128" i="18"/>
  <c r="P129" i="18"/>
  <c r="AZ129" i="18"/>
  <c r="BA129" i="18"/>
  <c r="BB129" i="18"/>
  <c r="P130" i="18"/>
  <c r="BE127" i="18" a="1"/>
  <c r="BE127" i="18"/>
  <c r="BF127" i="18"/>
  <c r="BG127" i="18"/>
  <c r="Q128" i="18"/>
  <c r="BE128" i="18"/>
  <c r="BF128" i="18"/>
  <c r="BG128" i="18"/>
  <c r="Q129" i="18"/>
  <c r="BE129" i="18"/>
  <c r="BF129" i="18"/>
  <c r="BG129" i="18"/>
  <c r="Q130" i="18"/>
  <c r="AU160" i="18" a="1"/>
  <c r="AU160" i="18"/>
  <c r="AV160" i="18"/>
  <c r="AW160" i="18"/>
  <c r="O161" i="18"/>
  <c r="AU161" i="18"/>
  <c r="AV161" i="18"/>
  <c r="AW161" i="18"/>
  <c r="O162" i="18"/>
  <c r="AU162" i="18"/>
  <c r="AV162" i="18"/>
  <c r="AW162" i="18"/>
  <c r="O163" i="18"/>
  <c r="AZ160" i="18" a="1"/>
  <c r="AZ160" i="18"/>
  <c r="BA160" i="18"/>
  <c r="BB160" i="18"/>
  <c r="P161" i="18"/>
  <c r="AZ161" i="18"/>
  <c r="BA161" i="18"/>
  <c r="BB161" i="18"/>
  <c r="P162" i="18"/>
  <c r="AZ162" i="18"/>
  <c r="BA162" i="18"/>
  <c r="BB162" i="18"/>
  <c r="P163" i="18"/>
  <c r="BE160" i="18" a="1"/>
  <c r="BE160" i="18"/>
  <c r="BF160" i="18"/>
  <c r="BG160" i="18"/>
  <c r="Q161" i="18"/>
  <c r="BE161" i="18"/>
  <c r="BF161" i="18"/>
  <c r="BG161" i="18"/>
  <c r="Q162" i="18"/>
  <c r="BE162" i="18"/>
  <c r="BF162" i="18"/>
  <c r="BG162" i="18"/>
  <c r="Q163" i="18"/>
  <c r="AU193" i="18" a="1"/>
  <c r="AU193" i="18"/>
  <c r="AV193" i="18"/>
  <c r="AW193" i="18"/>
  <c r="O194" i="18"/>
  <c r="AU194" i="18"/>
  <c r="AV194" i="18"/>
  <c r="AW194" i="18"/>
  <c r="O195" i="18"/>
  <c r="AU195" i="18"/>
  <c r="AV195" i="18"/>
  <c r="AW195" i="18"/>
  <c r="O196" i="18"/>
  <c r="AZ193" i="18" a="1"/>
  <c r="AZ193" i="18"/>
  <c r="BA193" i="18"/>
  <c r="BB193" i="18"/>
  <c r="P194" i="18"/>
  <c r="AZ194" i="18"/>
  <c r="BA194" i="18"/>
  <c r="BB194" i="18"/>
  <c r="P195" i="18"/>
  <c r="AZ195" i="18"/>
  <c r="BA195" i="18"/>
  <c r="BB195" i="18"/>
  <c r="P196" i="18"/>
  <c r="BE193" i="18" a="1"/>
  <c r="BE193" i="18"/>
  <c r="BF193" i="18"/>
  <c r="BG193" i="18"/>
  <c r="Q194" i="18"/>
  <c r="BE194" i="18"/>
  <c r="BF194" i="18"/>
  <c r="BG194" i="18"/>
  <c r="Q195" i="18"/>
  <c r="BE195" i="18"/>
  <c r="BF195" i="18"/>
  <c r="BG195" i="18"/>
  <c r="Q196" i="18"/>
  <c r="AU226" i="18" a="1"/>
  <c r="AU226" i="18"/>
  <c r="AV226" i="18"/>
  <c r="AW226" i="18"/>
  <c r="O227" i="18"/>
  <c r="AU227" i="18"/>
  <c r="AV227" i="18"/>
  <c r="AW227" i="18"/>
  <c r="O228" i="18"/>
  <c r="AU228" i="18"/>
  <c r="AV228" i="18"/>
  <c r="AW228" i="18"/>
  <c r="O229" i="18"/>
  <c r="AZ226" i="18" a="1"/>
  <c r="AZ226" i="18"/>
  <c r="BA226" i="18"/>
  <c r="BB226" i="18"/>
  <c r="P227" i="18"/>
  <c r="AZ227" i="18"/>
  <c r="BA227" i="18"/>
  <c r="BB227" i="18"/>
  <c r="P228" i="18"/>
  <c r="AZ228" i="18"/>
  <c r="BA228" i="18"/>
  <c r="BB228" i="18"/>
  <c r="P229" i="18"/>
  <c r="BE226" i="18" a="1"/>
  <c r="BE226" i="18"/>
  <c r="BF226" i="18"/>
  <c r="BG226" i="18"/>
  <c r="Q227" i="18"/>
  <c r="BE227" i="18"/>
  <c r="BF227" i="18"/>
  <c r="BG227" i="18"/>
  <c r="Q228" i="18"/>
  <c r="BE228" i="18"/>
  <c r="BF228" i="18"/>
  <c r="BG228" i="18"/>
  <c r="Q229" i="18"/>
  <c r="AU259" i="18" a="1"/>
  <c r="AU259" i="18"/>
  <c r="AV259" i="18"/>
  <c r="AW259" i="18"/>
  <c r="O260" i="18"/>
  <c r="AU260" i="18"/>
  <c r="AV260" i="18"/>
  <c r="AW260" i="18"/>
  <c r="O261" i="18"/>
  <c r="AU261" i="18"/>
  <c r="AV261" i="18"/>
  <c r="AW261" i="18"/>
  <c r="O262" i="18"/>
  <c r="AZ259" i="18" a="1"/>
  <c r="AZ259" i="18"/>
  <c r="BA259" i="18"/>
  <c r="BB259" i="18"/>
  <c r="P260" i="18"/>
  <c r="AZ260" i="18"/>
  <c r="BA260" i="18"/>
  <c r="BB260" i="18"/>
  <c r="P261" i="18"/>
  <c r="AZ261" i="18"/>
  <c r="BA261" i="18"/>
  <c r="BB261" i="18"/>
  <c r="P262" i="18"/>
  <c r="BE259" i="18" a="1"/>
  <c r="BE259" i="18"/>
  <c r="BF259" i="18"/>
  <c r="BG259" i="18"/>
  <c r="Q260" i="18"/>
  <c r="BE260" i="18"/>
  <c r="BF260" i="18"/>
  <c r="BG260" i="18"/>
  <c r="Q261" i="18"/>
  <c r="BE261" i="18"/>
  <c r="BF261" i="18"/>
  <c r="BG261" i="18"/>
  <c r="Q262" i="18"/>
  <c r="AU292" i="18" a="1"/>
  <c r="AU292" i="18"/>
  <c r="AV292" i="18"/>
  <c r="AW292" i="18"/>
  <c r="O293" i="18"/>
  <c r="AU293" i="18"/>
  <c r="AV293" i="18"/>
  <c r="AW293" i="18"/>
  <c r="O294" i="18"/>
  <c r="AU294" i="18"/>
  <c r="AV294" i="18"/>
  <c r="AW294" i="18"/>
  <c r="O295" i="18"/>
  <c r="AZ292" i="18" a="1"/>
  <c r="AZ292" i="18"/>
  <c r="BA292" i="18"/>
  <c r="BB292" i="18"/>
  <c r="P293" i="18"/>
  <c r="AZ293" i="18"/>
  <c r="BA293" i="18"/>
  <c r="BB293" i="18"/>
  <c r="P294" i="18"/>
  <c r="AZ294" i="18"/>
  <c r="BA294" i="18"/>
  <c r="BB294" i="18"/>
  <c r="P295" i="18"/>
  <c r="BE292" i="18" a="1"/>
  <c r="BE292" i="18"/>
  <c r="BF292" i="18"/>
  <c r="BG292" i="18"/>
  <c r="Q293" i="18"/>
  <c r="BE293" i="18"/>
  <c r="BF293" i="18"/>
  <c r="BG293" i="18"/>
  <c r="Q294" i="18"/>
  <c r="BE294" i="18"/>
  <c r="BF294" i="18"/>
  <c r="BG294" i="18"/>
  <c r="Q295" i="18"/>
  <c r="AU325" i="18" a="1"/>
  <c r="AU325" i="18"/>
  <c r="AV325" i="18"/>
  <c r="AW325" i="18"/>
  <c r="O326" i="18"/>
  <c r="AU326" i="18"/>
  <c r="AV326" i="18"/>
  <c r="AW326" i="18"/>
  <c r="O327" i="18"/>
  <c r="AU327" i="18"/>
  <c r="AV327" i="18"/>
  <c r="AW327" i="18"/>
  <c r="O328" i="18"/>
  <c r="AZ325" i="18" a="1"/>
  <c r="AZ325" i="18"/>
  <c r="BA325" i="18"/>
  <c r="BB325" i="18"/>
  <c r="P326" i="18"/>
  <c r="AZ326" i="18"/>
  <c r="BA326" i="18"/>
  <c r="BB326" i="18"/>
  <c r="P327" i="18"/>
  <c r="AZ327" i="18"/>
  <c r="BA327" i="18"/>
  <c r="BB327" i="18"/>
  <c r="P328" i="18"/>
  <c r="BE325" i="18" a="1"/>
  <c r="BE325" i="18"/>
  <c r="BF325" i="18"/>
  <c r="BG325" i="18"/>
  <c r="Q326" i="18"/>
  <c r="BE326" i="18"/>
  <c r="BF326" i="18"/>
  <c r="BG326" i="18"/>
  <c r="Q327" i="18"/>
  <c r="BE327" i="18"/>
  <c r="BF327" i="18"/>
  <c r="BG327" i="18"/>
  <c r="Q328"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T15" i="18" a="1"/>
  <c r="T15" i="18"/>
  <c r="G26" i="7"/>
  <c r="U15" i="18"/>
  <c r="H26" i="7"/>
  <c r="V15" i="18"/>
  <c r="I26" i="7"/>
  <c r="W15" i="18"/>
  <c r="J26" i="7"/>
  <c r="C26" i="7"/>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16" i="18"/>
  <c r="G27" i="7"/>
  <c r="U16" i="18"/>
  <c r="H27" i="7"/>
  <c r="V16" i="18"/>
  <c r="I27" i="7"/>
  <c r="W16" i="18"/>
  <c r="J27" i="7"/>
  <c r="C27"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17" i="18"/>
  <c r="G28" i="7"/>
  <c r="U17" i="18"/>
  <c r="H28" i="7"/>
  <c r="V17" i="18"/>
  <c r="I28" i="7"/>
  <c r="W17" i="18"/>
  <c r="J28" i="7"/>
  <c r="C28"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18" i="18"/>
  <c r="V18" i="18"/>
  <c r="U18" i="18"/>
  <c r="T18" i="18"/>
  <c r="W51" i="18"/>
  <c r="V51" i="18"/>
  <c r="U51" i="18"/>
  <c r="T51" i="18"/>
  <c r="W84" i="18"/>
  <c r="V84" i="18"/>
  <c r="U84" i="18"/>
  <c r="T84" i="18"/>
  <c r="W117" i="18"/>
  <c r="V117" i="18"/>
  <c r="U117" i="18"/>
  <c r="T117" i="18"/>
  <c r="W150" i="18"/>
  <c r="V150" i="18"/>
  <c r="U150" i="18"/>
  <c r="T150" i="18"/>
  <c r="W183" i="18"/>
  <c r="V183" i="18"/>
  <c r="U183" i="18"/>
  <c r="T183" i="18"/>
  <c r="W216" i="18"/>
  <c r="V216" i="18"/>
  <c r="U216" i="18"/>
  <c r="T216" i="18"/>
  <c r="W249" i="18"/>
  <c r="V249" i="18"/>
  <c r="U249" i="18"/>
  <c r="T249" i="18"/>
  <c r="W282" i="18"/>
  <c r="V282" i="18"/>
  <c r="U282" i="18"/>
  <c r="T282" i="18"/>
  <c r="W315" i="18"/>
  <c r="V315" i="18"/>
  <c r="U315" i="18"/>
  <c r="T315" i="18"/>
  <c r="BE328" i="18"/>
  <c r="AZ328" i="18"/>
  <c r="AU328" i="18"/>
  <c r="AC300" i="18"/>
  <c r="BE295" i="18"/>
  <c r="AZ295" i="18"/>
  <c r="AU295" i="18"/>
  <c r="AC267" i="18"/>
  <c r="BE262" i="18"/>
  <c r="AZ262" i="18"/>
  <c r="AU262" i="18"/>
  <c r="AC234" i="18"/>
  <c r="BE229" i="18"/>
  <c r="AZ229" i="18"/>
  <c r="AU229" i="18"/>
  <c r="AC201" i="18"/>
  <c r="BE196" i="18"/>
  <c r="AZ196" i="18"/>
  <c r="AU196" i="18"/>
  <c r="AC168" i="18"/>
  <c r="BE163" i="18"/>
  <c r="AZ163" i="18"/>
  <c r="AU163" i="18"/>
  <c r="AC135" i="18"/>
  <c r="BE130" i="18"/>
  <c r="AZ130" i="18"/>
  <c r="AU130" i="18"/>
  <c r="AC102" i="18"/>
  <c r="BE97" i="18"/>
  <c r="AZ97" i="18"/>
  <c r="AU97" i="18"/>
  <c r="AC69" i="18"/>
  <c r="BE64" i="18"/>
  <c r="AZ64" i="18"/>
  <c r="AU64" i="18"/>
  <c r="AC36" i="18"/>
  <c r="F28" i="18" a="1"/>
  <c r="F28" i="18"/>
  <c r="Y15" i="18"/>
  <c r="F29" i="18"/>
  <c r="Y16" i="18"/>
  <c r="F30" i="18"/>
  <c r="Y17" i="18"/>
  <c r="Y22" i="18" a="1"/>
  <c r="Y22" i="18"/>
  <c r="Q26" i="7"/>
  <c r="Y23" i="18"/>
  <c r="Q27" i="7"/>
  <c r="Y24" i="18"/>
  <c r="Q28" i="7"/>
  <c r="Y25" i="18"/>
  <c r="F33" i="18"/>
  <c r="F32" i="18"/>
  <c r="F31" i="18"/>
  <c r="F54" i="18"/>
  <c r="F56" i="18"/>
  <c r="F55" i="18"/>
  <c r="E334" i="18"/>
  <c r="F318" i="18"/>
  <c r="E340" i="18"/>
  <c r="F323" i="18"/>
  <c r="AB312" i="18"/>
  <c r="AB313" i="18"/>
  <c r="AB314" i="18"/>
  <c r="AB319" i="18" a="1"/>
  <c r="AB321" i="18"/>
  <c r="T91" i="7"/>
  <c r="E339" i="18"/>
  <c r="F322" i="18"/>
  <c r="AA312" i="18"/>
  <c r="AA313" i="18"/>
  <c r="AA314" i="18"/>
  <c r="AA319" i="18" a="1"/>
  <c r="AA321" i="18"/>
  <c r="S91" i="7"/>
  <c r="E338" i="18"/>
  <c r="F321" i="18"/>
  <c r="Z312" i="18"/>
  <c r="Z313" i="18"/>
  <c r="Z314" i="18"/>
  <c r="Z319" i="18" a="1"/>
  <c r="Z321" i="18"/>
  <c r="R91" i="7"/>
  <c r="F285" i="18"/>
  <c r="F252" i="18"/>
  <c r="F219" i="18"/>
  <c r="F186" i="18"/>
  <c r="F153" i="18"/>
  <c r="F120" i="18"/>
  <c r="F87" i="18"/>
  <c r="AB320" i="18"/>
  <c r="T90" i="7"/>
  <c r="AA320" i="18"/>
  <c r="S90" i="7"/>
  <c r="Z320" i="18"/>
  <c r="R90" i="7"/>
  <c r="AB319" i="18"/>
  <c r="T89" i="7"/>
  <c r="AB322" i="18"/>
  <c r="AA319" i="18"/>
  <c r="S89" i="7"/>
  <c r="AA322" i="18"/>
  <c r="Z319" i="18"/>
  <c r="R89" i="7"/>
  <c r="Z322" i="18"/>
  <c r="C68" i="18"/>
  <c r="C101" i="18"/>
  <c r="C134" i="18"/>
  <c r="C167" i="18"/>
  <c r="C200" i="18"/>
  <c r="C233" i="18"/>
  <c r="C266" i="18"/>
  <c r="C299" i="18"/>
  <c r="C332" i="18"/>
  <c r="C64" i="18"/>
  <c r="C97" i="18"/>
  <c r="C130" i="18"/>
  <c r="C163" i="18"/>
  <c r="C196" i="18"/>
  <c r="C229" i="18"/>
  <c r="C262" i="18"/>
  <c r="C295" i="18"/>
  <c r="C328" i="18"/>
  <c r="M160" i="18"/>
  <c r="M161" i="18"/>
  <c r="M162" i="18"/>
  <c r="F88" i="18"/>
  <c r="F89" i="18"/>
  <c r="F121" i="18"/>
  <c r="F122" i="18"/>
  <c r="F154" i="18"/>
  <c r="F155" i="18"/>
  <c r="F187" i="18"/>
  <c r="F188" i="18"/>
  <c r="F220" i="18"/>
  <c r="F221" i="18"/>
  <c r="F253" i="18"/>
  <c r="F254" i="18"/>
  <c r="F286" i="18"/>
  <c r="F287" i="18"/>
  <c r="E335" i="18"/>
  <c r="F319" i="18"/>
  <c r="E336" i="18"/>
  <c r="F320" i="18"/>
  <c r="M165" i="18"/>
  <c r="M164" i="18"/>
  <c r="M163"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29" i="18"/>
  <c r="Y116" i="18"/>
  <c r="F128" i="18"/>
  <c r="Y115" i="18"/>
  <c r="F127" i="18"/>
  <c r="F96" i="18"/>
  <c r="Y83" i="18"/>
  <c r="F95" i="18"/>
  <c r="Y82" i="18"/>
  <c r="F94"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L87" i="18" a="1"/>
  <c r="L87" i="18"/>
  <c r="F90" i="18"/>
  <c r="Z82" i="18"/>
  <c r="Z83" i="18"/>
  <c r="Z81" i="18"/>
  <c r="Z88" i="18" a="1"/>
  <c r="Z88" i="18"/>
  <c r="R40" i="7"/>
  <c r="L88" i="18"/>
  <c r="F91" i="18"/>
  <c r="AA82" i="18"/>
  <c r="AA83" i="18"/>
  <c r="AA81" i="18"/>
  <c r="AA88" i="18" a="1"/>
  <c r="AA88" i="18"/>
  <c r="S40" i="7"/>
  <c r="L89" i="18"/>
  <c r="F92" i="18"/>
  <c r="AB82" i="18"/>
  <c r="AB83" i="18"/>
  <c r="AB81" i="18"/>
  <c r="AB88" i="18" a="1"/>
  <c r="AB88" i="18"/>
  <c r="T40" i="7"/>
  <c r="Y81" i="18"/>
  <c r="Y88" i="18" a="1"/>
  <c r="Y88" i="18"/>
  <c r="Q40" i="7"/>
  <c r="E40" i="7"/>
  <c r="Y114" i="18"/>
  <c r="Y121" i="18" a="1"/>
  <c r="Y121" i="18"/>
  <c r="Q47" i="7"/>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Z89" i="18"/>
  <c r="R41" i="7"/>
  <c r="AA89" i="18"/>
  <c r="S41" i="7"/>
  <c r="AB89" i="18"/>
  <c r="T41" i="7"/>
  <c r="Y89" i="18"/>
  <c r="Q41" i="7"/>
  <c r="E41" i="7"/>
  <c r="Y122" i="18"/>
  <c r="Q48" i="7"/>
  <c r="Z155" i="18"/>
  <c r="R55" i="7"/>
  <c r="AA155" i="18"/>
  <c r="S55" i="7"/>
  <c r="AB155" i="18"/>
  <c r="T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Z90" i="18"/>
  <c r="Z91" i="18"/>
  <c r="R42" i="7"/>
  <c r="AA90" i="18"/>
  <c r="AA91" i="18"/>
  <c r="S42" i="7"/>
  <c r="AB90" i="18"/>
  <c r="L90" i="18"/>
  <c r="AB91" i="18"/>
  <c r="T42" i="7"/>
  <c r="Y91" i="18"/>
  <c r="Y90" i="18"/>
  <c r="Q42" i="7"/>
  <c r="E42" i="7"/>
  <c r="Y124" i="18"/>
  <c r="Y123" i="18"/>
  <c r="Q49" i="7"/>
  <c r="Z156" i="18"/>
  <c r="Z157" i="18"/>
  <c r="R56" i="7"/>
  <c r="AA156" i="18"/>
  <c r="AA157" i="18"/>
  <c r="S56" i="7"/>
  <c r="AB156" i="18"/>
  <c r="L156" i="18"/>
  <c r="AB157" i="18"/>
  <c r="T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L21" i="18" a="1"/>
  <c r="L21" i="18"/>
  <c r="F24" i="18"/>
  <c r="Z16" i="18"/>
  <c r="Z17" i="18"/>
  <c r="L22" i="18"/>
  <c r="F25" i="18"/>
  <c r="AA16" i="18"/>
  <c r="AA17" i="18"/>
  <c r="AA15" i="18"/>
  <c r="AA22" i="18" a="1"/>
  <c r="AA22" i="18"/>
  <c r="S26" i="7"/>
  <c r="L23" i="18"/>
  <c r="F26" i="18"/>
  <c r="AB16" i="18"/>
  <c r="AB17" i="18"/>
  <c r="AB15" i="18"/>
  <c r="AB22" i="18" a="1"/>
  <c r="AB22" i="18"/>
  <c r="T26" i="7"/>
  <c r="F61" i="18"/>
  <c r="F62" i="18"/>
  <c r="Y49" i="18"/>
  <c r="F63" i="18"/>
  <c r="Y50" i="18"/>
  <c r="Y48" i="18"/>
  <c r="Y55" i="18" a="1"/>
  <c r="Y55" i="18"/>
  <c r="Q33" i="7"/>
  <c r="E33" i="7"/>
  <c r="AA23" i="18"/>
  <c r="S27" i="7"/>
  <c r="AB23" i="18"/>
  <c r="T27" i="7"/>
  <c r="Y56" i="18"/>
  <c r="Q34" i="7"/>
  <c r="E34" i="7"/>
  <c r="Z15" i="18"/>
  <c r="Z22" i="18" a="1"/>
  <c r="Z23" i="18"/>
  <c r="R27" i="7"/>
  <c r="E27" i="7"/>
  <c r="Z24" i="18"/>
  <c r="AA24" i="18"/>
  <c r="AA25" i="18"/>
  <c r="S28" i="7"/>
  <c r="AB24" i="18"/>
  <c r="AB25" i="18"/>
  <c r="T28" i="7"/>
  <c r="Y57" i="18"/>
  <c r="Y58" i="18"/>
  <c r="Q35" i="7"/>
  <c r="E35" i="7"/>
  <c r="R28" i="7"/>
  <c r="E28" i="7"/>
  <c r="L24" i="18"/>
  <c r="Z22" i="18"/>
  <c r="Z25" i="18"/>
  <c r="R26" i="7"/>
  <c r="E26" i="7"/>
  <c r="F160" i="18" a="1"/>
  <c r="F163" i="18"/>
  <c r="J120" i="18"/>
  <c r="F164" i="18"/>
  <c r="J121" i="18"/>
  <c r="F165" i="18"/>
  <c r="J122" i="18"/>
  <c r="L120" i="18" a="1"/>
  <c r="L120" i="18"/>
  <c r="F123" i="18"/>
  <c r="Z114" i="18"/>
  <c r="Z115" i="18"/>
  <c r="Z116" i="18"/>
  <c r="Z121" i="18" a="1"/>
  <c r="Z121" i="18"/>
  <c r="R47" i="7"/>
  <c r="L121" i="18"/>
  <c r="F124" i="18"/>
  <c r="AA114" i="18"/>
  <c r="AA115" i="18"/>
  <c r="AA116" i="18"/>
  <c r="AA121" i="18" a="1"/>
  <c r="AA121" i="18"/>
  <c r="S47" i="7"/>
  <c r="L122" i="18"/>
  <c r="F125" i="18"/>
  <c r="AB114" i="18"/>
  <c r="AB115" i="18"/>
  <c r="AB116" i="18"/>
  <c r="AB121" i="18" a="1"/>
  <c r="AB121" i="18"/>
  <c r="T47" i="7"/>
  <c r="E47" i="7"/>
  <c r="F160" i="18"/>
  <c r="Y147" i="18"/>
  <c r="F161" i="18"/>
  <c r="Y148" i="18"/>
  <c r="F162" i="18"/>
  <c r="Y149" i="18"/>
  <c r="Y154" i="18" a="1"/>
  <c r="Y154" i="18"/>
  <c r="Q54" i="7"/>
  <c r="E54" i="7"/>
  <c r="G16" i="7"/>
  <c r="Z122" i="18"/>
  <c r="R48" i="7"/>
  <c r="AA122" i="18"/>
  <c r="S48" i="7"/>
  <c r="AB122" i="18"/>
  <c r="T48" i="7"/>
  <c r="E48" i="7"/>
  <c r="Y155" i="18"/>
  <c r="Q55" i="7"/>
  <c r="E55" i="7"/>
  <c r="G17" i="7"/>
  <c r="Z123" i="18"/>
  <c r="R49" i="7"/>
  <c r="AA123" i="18"/>
  <c r="S49" i="7"/>
  <c r="AB123" i="18"/>
  <c r="T49" i="7"/>
  <c r="E49" i="7"/>
  <c r="Y156" i="18"/>
  <c r="Q56" i="7"/>
  <c r="E56" i="7"/>
  <c r="G18" i="7"/>
  <c r="G19" i="7"/>
  <c r="Y157" i="18"/>
  <c r="AB124" i="18"/>
  <c r="L123" i="18"/>
  <c r="AA124" i="18"/>
  <c r="Z124" i="18"/>
</calcChain>
</file>

<file path=xl/comments1.xml><?xml version="1.0" encoding="utf-8"?>
<comments xmlns="http://schemas.openxmlformats.org/spreadsheetml/2006/main">
  <authors>
    <author>Alex Slocum</author>
  </authors>
  <commentList>
    <comment ref="C185" author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28" author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<sst xmlns="http://schemas.openxmlformats.org/spreadsheetml/2006/main" count="4037" uniqueCount="408">
  <si>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</si>
  <si>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</si>
  <si>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</si>
  <si>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</si>
  <si>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</si>
  <si>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</si>
  <si>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</si>
  <si>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</si>
  <si>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</si>
  <si>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</si>
  <si>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</si>
  <si>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</si>
  <si>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</si>
  <si>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</si>
  <si>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</si>
  <si>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</si>
  <si>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</si>
  <si>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</si>
  <si>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</si>
  <si>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</si>
  <si>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</si>
  <si>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</si>
  <si>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</si>
  <si>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</si>
  <si>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</si>
  <si>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</si>
  <si>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</si>
  <si>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</si>
  <si>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</si>
  <si>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</si>
  <si>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</si>
  <si>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</si>
  <si>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</si>
  <si>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</si>
  <si>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</si>
  <si>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</si>
  <si>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</si>
  <si>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</si>
  <si>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</si>
  <si>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</si>
  <si>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</si>
  <si>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</si>
  <si>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</si>
  <si>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</si>
  <si>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</si>
  <si>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</si>
  <si>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</si>
  <si>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</si>
  <si>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</si>
  <si>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</si>
  <si>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</si>
  <si>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</si>
  <si>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</si>
  <si>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</si>
  <si>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</si>
  <si>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</si>
  <si>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</si>
  <si>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</si>
  <si>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</si>
  <si>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</si>
  <si>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</si>
  <si>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</si>
  <si>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</si>
  <si>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</si>
  <si>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</si>
  <si>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</si>
  <si>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</si>
  <si>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</si>
  <si>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</si>
  <si>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</si>
  <si>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</si>
  <si>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</si>
  <si>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</si>
  <si>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</si>
  <si>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</si>
  <si>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</si>
  <si>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</si>
  <si>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</si>
  <si>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</si>
  <si>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</si>
  <si>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</si>
  <si>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</si>
  <si>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</si>
  <si>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</si>
  <si>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</si>
  <si>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</si>
  <si>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</si>
  <si>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</si>
  <si>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</si>
  <si>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</si>
  <si>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</si>
  <si>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</si>
  <si>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</si>
  <si>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</si>
  <si>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</si>
  <si>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</si>
  <si>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</si>
  <si>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</si>
  <si>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</si>
  <si>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</si>
  <si>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</si>
  <si>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</si>
  <si>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</si>
  <si>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</si>
  <si>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</si>
  <si>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</si>
  <si>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</si>
  <si>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</si>
  <si>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</si>
  <si>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</si>
  <si>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</si>
  <si>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</si>
  <si>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</si>
  <si>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</si>
  <si>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</si>
  <si>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</si>
  <si>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</si>
  <si>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</si>
  <si>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</si>
  <si>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</si>
  <si>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</si>
  <si>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</si>
  <si>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</si>
  <si>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</si>
  <si>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</si>
  <si>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</si>
  <si>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</si>
  <si>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</si>
  <si>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</si>
  <si>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</si>
  <si>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</si>
  <si>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</si>
  <si>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</si>
  <si>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</si>
  <si>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</si>
  <si>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</si>
  <si>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</si>
  <si>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</si>
  <si>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</si>
  <si>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</si>
  <si>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</si>
  <si>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</si>
  <si>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</si>
  <si>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</si>
  <si>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</si>
  <si>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</si>
  <si>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</si>
  <si>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</si>
  <si>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</si>
  <si>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</si>
  <si>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</si>
  <si>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</si>
  <si>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</si>
  <si>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</si>
  <si>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</si>
  <si>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</si>
  <si>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</si>
  <si>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</si>
  <si>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</si>
  <si>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</si>
  <si>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</si>
  <si>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</si>
  <si>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</si>
  <si>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</si>
  <si>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</si>
  <si>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</si>
  <si>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</si>
  <si>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</si>
  <si>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</si>
  <si>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</si>
  <si>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</si>
  <si>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</si>
  <si>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</si>
  <si>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</si>
  <si>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</si>
  <si>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</si>
  <si>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</si>
  <si>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</si>
  <si>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</si>
  <si>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</si>
  <si>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</si>
  <si>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</si>
  <si>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</si>
  <si>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</si>
  <si>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</si>
  <si>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</si>
  <si>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</si>
  <si>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</si>
  <si>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</si>
  <si>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</si>
  <si>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</si>
  <si>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</si>
  <si>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</si>
  <si>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</si>
  <si>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</si>
  <si>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</si>
  <si>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</si>
  <si>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</si>
  <si>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</si>
  <si>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</si>
  <si>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</si>
  <si>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</si>
  <si>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</si>
  <si>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</si>
  <si>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</si>
  <si>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</si>
  <si>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</si>
  <si>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</si>
  <si>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</si>
  <si>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</si>
  <si>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</si>
  <si>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</si>
  <si>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</si>
  <si>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</si>
  <si>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</si>
  <si>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</si>
  <si>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</si>
  <si>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</si>
  <si>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</si>
  <si>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</si>
  <si>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</si>
  <si>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</si>
  <si>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</si>
  <si>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</si>
  <si>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</si>
  <si>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</si>
  <si>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</si>
  <si>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</si>
  <si>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</si>
  <si>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</si>
  <si>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</si>
  <si>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</si>
  <si>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</si>
  <si>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</si>
  <si>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</si>
  <si>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</si>
  <si>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</si>
  <si>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</si>
  <si>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</si>
  <si>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</si>
  <si>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</si>
  <si>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</si>
  <si>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</si>
  <si>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</si>
  <si>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</si>
  <si>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</si>
  <si>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</si>
  <si>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</si>
  <si>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</si>
  <si>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</si>
  <si>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</si>
  <si>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</si>
  <si>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</si>
  <si>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</si>
  <si>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</si>
  <si>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</si>
  <si>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</si>
  <si>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</si>
  <si>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</si>
  <si>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</si>
  <si>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</si>
  <si>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</si>
  <si>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</si>
  <si>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</si>
  <si>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</si>
  <si>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</si>
  <si>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</si>
  <si>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</si>
  <si>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</si>
  <si>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</si>
  <si>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</si>
  <si>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</si>
  <si>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</si>
  <si>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</si>
  <si>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</si>
  <si>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</si>
  <si>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</si>
  <si>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</si>
  <si>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</si>
  <si>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</si>
  <si>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</si>
  <si>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</si>
  <si>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</si>
  <si>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</si>
  <si>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</si>
  <si>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</si>
  <si>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</si>
  <si>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</si>
  <si>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</si>
  <si>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</si>
  <si>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</si>
  <si>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</si>
  <si>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</si>
  <si>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</si>
  <si>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</si>
  <si>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</si>
  <si>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</si>
  <si>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</si>
  <si>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</si>
  <si>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</si>
  <si>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</si>
  <si>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</si>
  <si>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</si>
  <si>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</si>
  <si>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</si>
  <si>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</si>
  <si>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</si>
  <si>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</si>
  <si>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</si>
  <si>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</si>
  <si>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</si>
  <si>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</si>
  <si>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Y servo</t>
  </si>
  <si>
    <t>offset from CS origin</t>
  </si>
  <si>
    <t>simply supported stiffness about Izz (N/mm)</t>
  </si>
  <si>
    <t>I width dimension of beam (mm^4)</t>
  </si>
  <si>
    <t>I height dimension of beam (mm^4)</t>
  </si>
  <si>
    <t>X axis</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</si>
  <si>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</si>
  <si>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</si>
  <si>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</si>
  <si>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</si>
  <si>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</si>
  <si>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</si>
  <si>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</si>
  <si>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</si>
  <si>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</si>
  <si>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</si>
  <si>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</si>
  <si>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</si>
  <si>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</si>
  <si>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</si>
  <si>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</si>
  <si>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</si>
  <si>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</si>
  <si>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spindle shaft</t>
  </si>
  <si>
    <t>steel</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</si>
  <si>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</si>
  <si>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</si>
  <si>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</si>
  <si>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</si>
  <si>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</si>
  <si>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</si>
  <si>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</si>
  <si>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</si>
  <si>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</si>
  <si>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</si>
  <si>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</si>
  <si>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</si>
  <si>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chuncky block</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</si>
  <si>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</si>
  <si>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</si>
  <si>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</si>
  <si>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</si>
  <si>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</si>
  <si>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</si>
  <si>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</si>
  <si>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</si>
  <si>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</si>
  <si>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</si>
  <si>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</si>
  <si>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</si>
  <si>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</si>
  <si>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</si>
  <si>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</si>
  <si>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</si>
  <si>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</si>
  <si>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</si>
  <si>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Z-Axis</t>
  </si>
  <si>
    <t>Y-axis</t>
  </si>
  <si>
    <t>X-axis</t>
  </si>
  <si>
    <t>Bed &amp; Frame</t>
  </si>
  <si>
    <t>Thing 8</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</si>
  <si>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</si>
  <si>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</si>
  <si>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</si>
  <si>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</si>
  <si>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</si>
  <si>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</si>
  <si>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</si>
  <si>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</si>
  <si>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</si>
  <si>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</si>
  <si>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</si>
  <si>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</si>
  <si>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</si>
  <si>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</si>
  <si>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</si>
  <si>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</si>
  <si>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</si>
  <si>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</si>
  <si>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</si>
  <si>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</si>
  <si>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</si>
  <si>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</si>
  <si>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</si>
  <si>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</si>
  <si>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</si>
  <si>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</si>
  <si>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</si>
  <si>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</si>
  <si>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</si>
  <si>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</si>
  <si>
    <t>NOTE: because Z axis has bearing blocks fixed to Y carriage.</t>
  </si>
  <si>
    <t>servo</t>
  </si>
  <si>
    <t>Beam properties (rectangular tube)</t>
  </si>
  <si>
    <t>vertical column</t>
  </si>
  <si>
    <t>desk vertical motion carriage/table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</si>
</sst>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2"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scheme val="minor"/>
    </font>
    <font>
      <u/>
      <sz val="12"/>
      <color theme="10"/>
      <name val="Calibri"/>
      <family val="2"/>
      <scheme val="minor"/>
    </font>
    <font>
      <u/>
      <sz val="12"/>
      <color theme="11"/>
      <name val="Calibri"/>
      <family val="2"/>
      <scheme val="minor"/>
    </font>
    <font>
      <b/>
      <sz val="12"/>
      <color rgb="FFFF0000"/>
      <name val="Calibri"/>
      <scheme val="minor"/>
    </font>
    <font>
      <b/>
      <sz val="12"/>
      <name val="Calibri"/>
      <scheme val="minor"/>
    </font>
    <font>
      <b/>
      <i/>
      <sz val="12"/>
      <color theme="1"/>
      <name val="Calibri"/>
      <scheme val="minor"/>
    </font>
    <font>
      <sz val="12"/>
      <color theme="1"/>
      <name val="Calibri"/>
      <family val="2"/>
      <scheme val="minor"/>
    </font>
    <font>
      <b/>
      <sz val="12"/>
      <color rgb="FFFF0000"/>
      <name val="Calibri"/>
      <family val="2"/>
      <scheme val="minor"/>
    </font>
    <font>
      <b/>
      <sz val="16"/>
      <color rgb="FF0000FF"/>
      <name val="Calibri"/>
      <scheme val="minor"/>
    </font>
    <font>
      <b/>
      <sz val="18"/>
      <color rgb="FF0000FF"/>
      <name val="Calibri"/>
      <scheme val="minor"/>
    </font>
    <font>
      <b/>
      <i/>
      <sz val="12"/>
      <color rgb="FFFF0000"/>
      <name val="Calibri"/>
      <scheme val="minor"/>
    </font>
    <font>
      <b/>
      <sz val="20"/>
      <color theme="1"/>
      <name val="Calibri"/>
      <scheme val="minor"/>
    </font>
    <font>
      <b/>
      <sz val="20"/>
      <name val="Calibri"/>
      <scheme val="minor"/>
    </font>
    <font>
      <sz val="12"/>
      <color rgb="FF000000"/>
      <name val="Calibri"/>
      <family val="2"/>
      <scheme val="minor"/>
    </font>
    <font>
      <b/>
      <sz val="12"/>
      <color rgb="FF000000"/>
      <name val="Calibri"/>
      <family val="2"/>
      <scheme val="minor"/>
    </font>
    <font>
      <b/>
      <sz val="22"/>
      <color theme="1"/>
      <name val="Calibri"/>
      <scheme val="minor"/>
    </font>
    <font>
      <sz val="9"/>
      <color indexed="81"/>
      <name val="Calibri"/>
      <family val="2"/>
    </font>
    <font>
      <b/>
      <sz val="9"/>
      <color indexed="81"/>
      <name val="Calibri"/>
      <family val="2"/>
    </font>
  </fonts>
  <fills count="14">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FF"/>
        <bgColor indexed="64"/>
      </patternFill>
    </fill>
    <fill>
      <patternFill patternType="solid">
        <fgColor rgb="FFFFFF00"/>
        <bgColor rgb="FF000000"/>
      </patternFill>
    </fill>
    <fill>
      <patternFill patternType="solid">
        <fgColor theme="8" tint="0.79998168889431442"/>
        <bgColor rgb="FF000000"/>
      </patternFill>
    </fill>
    <fill>
      <patternFill patternType="solid">
        <fgColor theme="4" tint="0.79998168889431442"/>
        <bgColor indexed="64"/>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4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378">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0" fontId="7" fillId="2" borderId="0" xfId="0" applyFont="1" applyFill="1"/>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7" fillId="0" borderId="20"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0" fontId="7" fillId="8" borderId="17" xfId="0" applyFont="1" applyFill="1" applyBorder="1"/>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0" fontId="0" fillId="9" borderId="0" xfId="0" applyFill="1"/>
    <xf numFmtId="0" fontId="3" fillId="9" borderId="0" xfId="0" applyFont="1" applyFill="1"/>
    <xf numFmtId="1" fontId="3" fillId="9" borderId="0" xfId="0" applyNumberFormat="1" applyFont="1" applyFill="1"/>
    <xf numFmtId="0" fontId="8" fillId="10" borderId="13" xfId="0" applyFont="1" applyFill="1" applyBorder="1"/>
    <xf numFmtId="0" fontId="0" fillId="9" borderId="0" xfId="0" applyFill="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xf>
    <xf numFmtId="0" fontId="3" fillId="3" borderId="13" xfId="0" applyFont="1" applyFill="1" applyBorder="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9" fillId="0" borderId="0" xfId="0" applyFont="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13" fillId="0" borderId="0" xfId="0" applyFont="1" applyAlignment="1">
      <alignment horizontal="center" vertical="center" wrapText="1"/>
    </xf>
    <xf numFmtId="0" fontId="0" fillId="0" borderId="0" xfId="0" applyAlignment="1">
      <alignment horizontal="center" wrapText="1"/>
    </xf>
    <xf numFmtId="0" fontId="12" fillId="0" borderId="0" xfId="0" applyFont="1" applyAlignment="1">
      <alignment horizontal="center" vertic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3" fillId="4" borderId="0" xfId="0" applyFont="1" applyFill="1" applyAlignment="1">
      <alignment horizontal="center"/>
    </xf>
    <xf numFmtId="0" fontId="9" fillId="4" borderId="0" xfId="0" applyFont="1" applyFill="1" applyAlignment="1">
      <alignment horizontal="center"/>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1" fontId="8" fillId="2" borderId="0" xfId="0" applyNumberFormat="1" applyFont="1" applyFill="1"/>
    <xf numFmtId="11" fontId="8" fillId="5" borderId="13" xfId="0" applyNumberFormat="1" applyFont="1" applyFill="1" applyBorder="1"/>
    <xf numFmtId="11" fontId="7" fillId="11" borderId="13" xfId="0" applyNumberFormat="1" applyFont="1" applyFill="1" applyBorder="1"/>
    <xf numFmtId="1" fontId="18" fillId="0" borderId="13" xfId="0" applyNumberFormat="1" applyFont="1" applyBorder="1"/>
    <xf numFmtId="166" fontId="7" fillId="0" borderId="13" xfId="173" applyNumberFormat="1" applyFont="1" applyBorder="1"/>
    <xf numFmtId="11" fontId="7" fillId="12" borderId="20" xfId="0" applyNumberFormat="1" applyFont="1" applyFill="1" applyBorder="1"/>
    <xf numFmtId="0" fontId="7" fillId="6" borderId="13" xfId="0" applyFont="1" applyFill="1" applyBorder="1"/>
    <xf numFmtId="0" fontId="4" fillId="2" borderId="0" xfId="0" applyFont="1" applyFill="1"/>
    <xf numFmtId="168" fontId="7" fillId="13" borderId="13" xfId="0" applyNumberFormat="1" applyFont="1" applyFill="1" applyBorder="1"/>
  </cellXfs>
  <cellStyles count="1241">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jpg"/><Relationship Id="rId4" Type="http://schemas.openxmlformats.org/officeDocument/2006/relationships/image" Target="../media/image5.jpeg"/><Relationship Id="rId1" Type="http://schemas.openxmlformats.org/officeDocument/2006/relationships/image" Target="../media/image3.wmf"/><Relationship Id="rId2"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84668</xdr:colOff>
      <xdr:row>12</xdr:row>
      <xdr:rowOff>50801</xdr:rowOff>
    </xdr:from>
    <xdr:to>
      <xdr:col>9</xdr:col>
      <xdr:colOff>203200</xdr:colOff>
      <xdr:row>17</xdr:row>
      <xdr:rowOff>169334</xdr:rowOff>
    </xdr:to>
    <xdr:pic>
      <xdr:nvPicPr>
        <xdr:cNvPr id="4" name="Picture 3"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14</xdr:col>
      <xdr:colOff>0</xdr:colOff>
      <xdr:row>5</xdr:row>
      <xdr:rowOff>0</xdr:rowOff>
    </xdr:from>
    <xdr:to>
      <xdr:col>20</xdr:col>
      <xdr:colOff>685800</xdr:colOff>
      <xdr:row>9</xdr:row>
      <xdr:rowOff>66675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57400" y="965200"/>
          <a:ext cx="57150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42333</xdr:colOff>
      <xdr:row>10</xdr:row>
      <xdr:rowOff>105833</xdr:rowOff>
    </xdr:from>
    <xdr:to>
      <xdr:col>9</xdr:col>
      <xdr:colOff>752263</xdr:colOff>
      <xdr:row>20</xdr:row>
      <xdr:rowOff>126999</xdr:rowOff>
    </xdr:to>
    <xdr:pic>
      <xdr:nvPicPr>
        <xdr:cNvPr id="2" name="Picture 1"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677400" y="2019300"/>
          <a:ext cx="5146463" cy="188383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tabSelected="1" topLeftCell="B1" zoomScale="125" zoomScaleNormal="125" zoomScalePageLayoutView="125" workbookViewId="0">
      <selection activeCell="K10" sqref="K10"/>
    </sheetView>
  </sheetViews>
  <sheetFormatPr baseColWidth="10" defaultColWidth="11" defaultRowHeight="15" x14ac:dyDescent="0"/>
  <cols>
    <col min="2" max="2" width="19" customWidth="1"/>
    <col min="3" max="3" width="12.1640625" customWidth="1"/>
    <col min="4" max="4" width="13.5" customWidth="1"/>
    <col min="5" max="5" width="18.83203125" customWidth="1"/>
    <col min="7" max="7" width="18.6640625" customWidth="1"/>
    <col min="8" max="8" width="19.5" customWidth="1"/>
    <col min="9" max="9" width="8.83203125" customWidth="1"/>
    <col min="10" max="10" width="5.5" customWidth="1"/>
    <col min="11" max="11" width="8.5" customWidth="1"/>
    <col min="12" max="12" width="18.83203125" customWidth="1"/>
    <col min="14" max="14" width="12.33203125" bestFit="1" customWidth="1"/>
    <col min="15" max="15" width="11.1640625" bestFit="1" customWidth="1"/>
    <col min="16" max="16" width="9.5" customWidth="1"/>
    <col min="17" max="17" width="14.5" customWidth="1"/>
  </cols>
  <sheetData>
    <row r="1" spans="1:20">
      <c r="A1" s="301" t="s">
        <v>202</v>
      </c>
      <c r="B1" s="301"/>
      <c r="C1" s="301"/>
      <c r="D1" s="301"/>
      <c r="E1" s="301"/>
      <c r="F1" s="301"/>
      <c r="G1" s="301"/>
    </row>
    <row r="2" spans="1:20">
      <c r="A2" s="301" t="s">
        <v>159</v>
      </c>
      <c r="B2" s="301"/>
      <c r="C2" s="301"/>
      <c r="D2" s="301"/>
      <c r="E2" s="301"/>
      <c r="F2" s="301"/>
      <c r="G2" s="301"/>
    </row>
    <row r="3" spans="1:20" ht="15" customHeight="1">
      <c r="A3" s="301" t="s">
        <v>394</v>
      </c>
      <c r="B3" s="301"/>
      <c r="C3" s="301"/>
      <c r="D3" s="301"/>
      <c r="E3" s="301"/>
      <c r="F3" s="301"/>
      <c r="G3" s="301"/>
      <c r="I3" s="298" t="s">
        <v>203</v>
      </c>
      <c r="J3" s="298"/>
      <c r="K3" s="298"/>
      <c r="L3" s="298"/>
      <c r="M3" s="298"/>
      <c r="N3" s="298"/>
      <c r="O3" s="298"/>
    </row>
    <row r="4" spans="1:20">
      <c r="A4" s="23"/>
      <c r="B4" s="23"/>
      <c r="C4" s="23"/>
      <c r="D4" s="23"/>
      <c r="E4" s="23"/>
      <c r="F4" s="23"/>
      <c r="G4" s="23"/>
      <c r="I4" s="298"/>
      <c r="J4" s="298"/>
      <c r="K4" s="298"/>
      <c r="L4" s="298"/>
      <c r="M4" s="298"/>
      <c r="N4" s="298"/>
      <c r="O4" s="298"/>
    </row>
    <row r="5" spans="1:20">
      <c r="A5" s="47" t="s">
        <v>171</v>
      </c>
      <c r="B5" s="76" t="s">
        <v>225</v>
      </c>
      <c r="C5" s="47" t="s">
        <v>170</v>
      </c>
      <c r="D5" s="76" t="s">
        <v>160</v>
      </c>
      <c r="E5" s="308" t="s">
        <v>161</v>
      </c>
      <c r="F5" s="308"/>
      <c r="G5" s="308"/>
      <c r="I5" s="298"/>
      <c r="J5" s="298"/>
      <c r="K5" s="298"/>
      <c r="L5" s="298"/>
      <c r="M5" s="298"/>
      <c r="N5" s="298"/>
      <c r="O5" s="298"/>
    </row>
    <row r="6" spans="1:20">
      <c r="A6" s="304" t="s">
        <v>164</v>
      </c>
      <c r="B6" s="304"/>
      <c r="C6" s="35" t="s">
        <v>163</v>
      </c>
      <c r="D6" s="1" t="s">
        <v>196</v>
      </c>
      <c r="I6" s="298"/>
      <c r="J6" s="298"/>
      <c r="K6" s="298"/>
      <c r="L6" s="298"/>
      <c r="M6" s="298"/>
      <c r="N6" s="298"/>
      <c r="O6" s="298"/>
    </row>
    <row r="7" spans="1:20">
      <c r="A7" s="304" t="s">
        <v>165</v>
      </c>
      <c r="B7" s="304"/>
      <c r="C7" s="44" t="s">
        <v>166</v>
      </c>
      <c r="I7" t="s">
        <v>194</v>
      </c>
    </row>
    <row r="8" spans="1:20">
      <c r="A8" s="34" t="s">
        <v>169</v>
      </c>
      <c r="B8" s="34"/>
      <c r="C8" s="10"/>
      <c r="I8" s="293" t="s">
        <v>195</v>
      </c>
      <c r="J8" s="293" t="s">
        <v>128</v>
      </c>
      <c r="K8" s="293" t="s">
        <v>0</v>
      </c>
      <c r="L8" s="293" t="s">
        <v>313</v>
      </c>
      <c r="M8" s="297" t="s">
        <v>392</v>
      </c>
      <c r="N8" s="297"/>
      <c r="O8" s="297"/>
    </row>
    <row r="9" spans="1:20">
      <c r="A9" s="34" t="s">
        <v>169</v>
      </c>
      <c r="B9" s="34"/>
      <c r="C9" s="10"/>
      <c r="I9" s="294" t="s">
        <v>312</v>
      </c>
      <c r="J9" s="294">
        <v>1</v>
      </c>
      <c r="K9" s="294">
        <v>400</v>
      </c>
      <c r="L9" s="294">
        <v>50</v>
      </c>
      <c r="M9" s="295">
        <v>50</v>
      </c>
      <c r="N9" s="293"/>
      <c r="O9" s="293"/>
      <c r="T9" s="26"/>
    </row>
    <row r="10" spans="1:20">
      <c r="A10" s="34"/>
      <c r="B10" s="34"/>
      <c r="C10" s="10"/>
    </row>
    <row r="11" spans="1:20" ht="16" customHeight="1" thickBot="1">
      <c r="A11" s="34"/>
      <c r="B11" s="34"/>
      <c r="C11" s="10"/>
      <c r="N11" s="299" t="s">
        <v>403</v>
      </c>
      <c r="O11" s="299"/>
    </row>
    <row r="12" spans="1:20">
      <c r="A12" s="305" t="s">
        <v>156</v>
      </c>
      <c r="B12" s="302" t="s">
        <v>168</v>
      </c>
      <c r="C12" s="302"/>
      <c r="D12" s="302"/>
      <c r="E12" s="302"/>
      <c r="F12" s="302"/>
      <c r="G12" s="302"/>
      <c r="I12" s="13"/>
      <c r="J12" s="13"/>
      <c r="K12" s="13"/>
      <c r="L12" s="13"/>
      <c r="M12" s="13"/>
      <c r="N12" s="299"/>
      <c r="O12" s="299"/>
    </row>
    <row r="13" spans="1:20" ht="15" customHeight="1">
      <c r="A13" s="306"/>
      <c r="B13" s="104" t="s">
        <v>167</v>
      </c>
      <c r="C13" s="302" t="s">
        <v>264</v>
      </c>
      <c r="D13" s="302"/>
      <c r="E13" s="302"/>
      <c r="F13" s="302"/>
      <c r="G13" s="303" t="s">
        <v>153</v>
      </c>
      <c r="I13" s="13"/>
      <c r="J13" s="13"/>
      <c r="K13" s="13"/>
      <c r="L13" s="13"/>
      <c r="M13" s="13"/>
      <c r="N13" s="299"/>
      <c r="O13" s="299"/>
    </row>
    <row r="14" spans="1:20">
      <c r="A14" s="306"/>
      <c r="B14" s="105">
        <f>Naxes</f>
        <v>2</v>
      </c>
      <c r="C14" s="302" t="s">
        <v>109</v>
      </c>
      <c r="D14" s="302"/>
      <c r="E14" s="302"/>
      <c r="F14" s="106" t="s">
        <v>110</v>
      </c>
      <c r="G14" s="303"/>
      <c r="I14" s="13"/>
      <c r="J14" s="13"/>
      <c r="K14" s="13"/>
      <c r="L14" s="13"/>
      <c r="M14" s="13"/>
      <c r="N14" s="299"/>
      <c r="O14" s="299"/>
    </row>
    <row r="15" spans="1:20">
      <c r="A15" s="306"/>
      <c r="B15" s="107"/>
      <c r="C15" s="108" t="s">
        <v>151</v>
      </c>
      <c r="D15" s="108" t="s">
        <v>7</v>
      </c>
      <c r="E15" s="108" t="s">
        <v>154</v>
      </c>
      <c r="F15" s="106" t="s">
        <v>151</v>
      </c>
      <c r="G15" s="106" t="s">
        <v>151</v>
      </c>
      <c r="I15" s="13"/>
      <c r="J15" s="13"/>
      <c r="K15" s="13"/>
      <c r="L15" s="13"/>
      <c r="M15" s="13"/>
    </row>
    <row r="16" spans="1:20">
      <c r="A16" s="306"/>
      <c r="B16" s="109" t="s">
        <v>84</v>
      </c>
      <c r="C16" s="110">
        <f>(C26*$A$27+C33*$A$34+C40*$A$41+C47*$A$48+C54*$A$55+C61*$A$62+C68*$A$69+C75*$A$76+C82*$A$83+C89*$A$90)</f>
        <v>7.4353160022664885E-2</v>
      </c>
      <c r="D16" s="110">
        <f>SQRT((C26*$A$27)^2+(C33*$A$34)^2+(C40*$A$41)^2+(C47*$A$48)^2+(C54*$A$55)^2+(C61*$A$62)^2+(C68*$A$69)^2+(C75*$A$76)^2+(C82*$A$83)^2+(C89*$A$90)^2)</f>
        <v>6.9509973094588992E-2</v>
      </c>
      <c r="E16" s="110">
        <f>(C16+D16)/2</f>
        <v>7.1931566558626939E-2</v>
      </c>
      <c r="F16" s="110">
        <f t="shared" ref="F16:G18" si="0">(D26*$A$27+D33*$A$34+D40*$A$41+D47*$A$48+D54*$A$55+D61*$A$62+D68*$A$69+D75*$A$76+D82*$A$83+D89*$A$90)</f>
        <v>0</v>
      </c>
      <c r="G16" s="110">
        <f t="shared" si="0"/>
        <v>1.7200642344478111E-2</v>
      </c>
      <c r="H16" s="14"/>
      <c r="I16" s="13"/>
      <c r="J16" s="13"/>
      <c r="K16" s="13"/>
      <c r="L16" s="13"/>
      <c r="M16" s="13"/>
    </row>
    <row r="17" spans="1:20">
      <c r="A17" s="306"/>
      <c r="B17" s="109" t="s">
        <v>112</v>
      </c>
      <c r="C17" s="110">
        <f>(C27*$A$27+C34*$A$34+C41*$A$41+C48*$A$48+C55*$A$55+C62*$A$62+C69*$A$69+C76*$A$76+C83*$A$83+C90*$A$90)</f>
        <v>0.18847215377279786</v>
      </c>
      <c r="D17" s="110">
        <f>SQRT((C27*$A$27)^2+(C34*$A$34)^2+(C41*$A$41)^2+(C48*$A$48)^2+(C55*$A$55)^2+(C62*$A$62)^2+(C69*$A$69)^2+(C76*$A$76)^2+(C83*$A$83)^2+(C90*$A$90)^2)</f>
        <v>0.14568422341612383</v>
      </c>
      <c r="E17" s="110">
        <f>(C17+D17)/2</f>
        <v>0.16707818859446083</v>
      </c>
      <c r="F17" s="110">
        <f t="shared" si="0"/>
        <v>0</v>
      </c>
      <c r="G17" s="110">
        <f t="shared" si="0"/>
        <v>-0.57027707794698168</v>
      </c>
      <c r="H17" s="14">
        <f>'CSs and Loads'!C29*'CS_1 Y carriage and table'!B12^3/(3*'CS_1 Y carriage and table'!B7*'CS_1 Y carriage and table'!B18)</f>
        <v>-9.2907072710710272E-3</v>
      </c>
      <c r="I17" s="13"/>
      <c r="J17" s="13"/>
      <c r="K17" s="13"/>
      <c r="L17" s="13"/>
      <c r="M17" s="13"/>
    </row>
    <row r="18" spans="1:20">
      <c r="A18" s="306"/>
      <c r="B18" s="109" t="s">
        <v>113</v>
      </c>
      <c r="C18" s="110">
        <f>(C28*$A$27+C35*$A$34+C42*$A$41+C49*$A$48+C56*$A$55+C63*$A$62+C70*$A$69+C77*$A$76+C84*$A$83+C91*$A$90)</f>
        <v>6.2624679767925517E-2</v>
      </c>
      <c r="D18" s="110">
        <f>SQRT((C28*$A$27)^2+(C35*$A$34)^2+(C42*$A$41)^2+(C49*$A$48)^2+(C56*$A$55)^2+(C63*$A$62)^2+(C70*$A$69)^2+(C77*$A$76)^2+(C84*$A$83)^2+(C91*$A$90)^2)</f>
        <v>5.3566379414311999E-2</v>
      </c>
      <c r="E18" s="110">
        <f>(C18+D18)/2</f>
        <v>5.8095529591118758E-2</v>
      </c>
      <c r="F18" s="110">
        <f t="shared" si="0"/>
        <v>0</v>
      </c>
      <c r="G18" s="110">
        <f t="shared" si="0"/>
        <v>0</v>
      </c>
      <c r="H18" s="14"/>
      <c r="I18" s="13"/>
      <c r="J18" s="13"/>
      <c r="K18" s="13"/>
      <c r="L18" s="13"/>
      <c r="M18" s="13"/>
    </row>
    <row r="19" spans="1:20" ht="16" thickBot="1">
      <c r="A19" s="307"/>
      <c r="B19" s="109" t="s">
        <v>157</v>
      </c>
      <c r="C19" s="110">
        <f>SQRT(C16^2+C17^2+C18^2)</f>
        <v>0.21206601724262281</v>
      </c>
      <c r="D19" s="110">
        <f>SQRT(D16^2+D17^2+D18^2)</f>
        <v>0.17007317929505403</v>
      </c>
      <c r="E19" s="110">
        <f>SQRT(E16^2+E17^2+E18^2)</f>
        <v>0.19095643987584435</v>
      </c>
      <c r="F19" s="110">
        <f>SQRT(F16^2+F17^2+F18^2)</f>
        <v>0</v>
      </c>
      <c r="G19" s="110">
        <f>SQRT(G16^2+G17^2+G18^2)</f>
        <v>0.5705364210362126</v>
      </c>
      <c r="H19" s="14"/>
      <c r="I19" s="13"/>
      <c r="J19" s="13"/>
      <c r="K19" s="13"/>
      <c r="L19" s="13"/>
      <c r="M19" s="112"/>
    </row>
    <row r="20" spans="1:20">
      <c r="A20" s="26"/>
      <c r="H20" s="14"/>
    </row>
    <row r="21" spans="1:20">
      <c r="C21" s="1"/>
      <c r="D21" s="1"/>
    </row>
    <row r="22" spans="1:20">
      <c r="C22" s="1"/>
      <c r="D22" s="1"/>
    </row>
    <row r="23" spans="1:20">
      <c r="A23" s="23" t="s">
        <v>128</v>
      </c>
      <c r="B23" s="44" t="str">
        <f>'CSs and Loads'!A22</f>
        <v>desk vertical motion carriage/table</v>
      </c>
      <c r="C23" s="301" t="s">
        <v>152</v>
      </c>
      <c r="D23" s="301"/>
      <c r="E23" s="300" t="s">
        <v>153</v>
      </c>
    </row>
    <row r="24" spans="1:20">
      <c r="A24" s="44">
        <v>1</v>
      </c>
      <c r="C24" s="26" t="s">
        <v>109</v>
      </c>
      <c r="D24" s="26" t="s">
        <v>110</v>
      </c>
      <c r="E24" s="300"/>
      <c r="F24" s="34" t="s">
        <v>136</v>
      </c>
      <c r="K24" s="34" t="s">
        <v>137</v>
      </c>
      <c r="P24" s="34" t="s">
        <v>150</v>
      </c>
    </row>
    <row r="25" spans="1:20">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c r="A26" s="44" t="str">
        <f>IF('CSs and Loads'!A17=1,"yes","no")</f>
        <v>yes</v>
      </c>
      <c r="B26" s="70" t="s">
        <v>84</v>
      </c>
      <c r="C26" s="71">
        <f>((G26+H26+I26+J26)+SQRT(G26^2+H26^2+I26^2+J26^2))/2</f>
        <v>5.0250624971273049E-3</v>
      </c>
      <c r="D26" s="48">
        <f>L26+M26+N26+O26</f>
        <v>0</v>
      </c>
      <c r="E26" s="48">
        <f>Q26+R26+S26+T26</f>
        <v>2.1895294177730551E-4</v>
      </c>
      <c r="F26" s="70" t="s">
        <v>84</v>
      </c>
      <c r="G26" s="49">
        <f>'CSs and Loads'!T15</f>
        <v>5.0000000000000001E-3</v>
      </c>
      <c r="H26" s="49">
        <f>'CSs and Loads'!U15</f>
        <v>0</v>
      </c>
      <c r="I26" s="49">
        <f>'CSs and Loads'!V15</f>
        <v>2.4999997918939702E-5</v>
      </c>
      <c r="J26" s="49">
        <f>'CSs and Loads'!W15</f>
        <v>2.4999997918939702E-5</v>
      </c>
      <c r="K26" s="70" t="s">
        <v>84</v>
      </c>
      <c r="L26" s="49">
        <f>'CSs and Loads'!T22</f>
        <v>0</v>
      </c>
      <c r="M26" s="49">
        <f>'CSs and Loads'!U22</f>
        <v>0</v>
      </c>
      <c r="N26" s="49">
        <f>'CSs and Loads'!V22</f>
        <v>0</v>
      </c>
      <c r="O26" s="49">
        <f>'CSs and Loads'!W22</f>
        <v>0</v>
      </c>
      <c r="P26" s="70" t="s">
        <v>84</v>
      </c>
      <c r="Q26" s="49">
        <f>'CSs and Loads'!Y22</f>
        <v>0</v>
      </c>
      <c r="R26" s="49">
        <f>'CSs and Loads'!Z22</f>
        <v>0</v>
      </c>
      <c r="S26" s="49">
        <f>'CSs and Loads'!AA22</f>
        <v>0</v>
      </c>
      <c r="T26" s="49">
        <f>'CSs and Loads'!AB22</f>
        <v>2.1895294177730551E-4</v>
      </c>
    </row>
    <row r="27" spans="1:20">
      <c r="A27" s="44">
        <f>'CSs and Loads'!A17</f>
        <v>1</v>
      </c>
      <c r="B27" s="70" t="s">
        <v>112</v>
      </c>
      <c r="C27" s="71">
        <f t="shared" ref="C27:C28" si="1">((G27+H27+I27+J27)+SQRT(G27^2+H27^2+I27^2+J27^2))/2</f>
        <v>5.2624680740147686E-2</v>
      </c>
      <c r="D27" s="48">
        <f t="shared" ref="D27:D28" si="2">L27+M27+N27+O27</f>
        <v>0</v>
      </c>
      <c r="E27" s="48">
        <f t="shared" ref="E27:E28" si="3">Q27+R27+S27+T27</f>
        <v>-0.46298051559208048</v>
      </c>
      <c r="F27" s="70" t="s">
        <v>112</v>
      </c>
      <c r="G27" s="49">
        <f>'CSs and Loads'!T16</f>
        <v>5.0000000000000001E-3</v>
      </c>
      <c r="H27" s="49">
        <f>'CSs and Loads'!U16</f>
        <v>0</v>
      </c>
      <c r="I27" s="49">
        <f>'CSs and Loads'!V16</f>
        <v>0</v>
      </c>
      <c r="J27" s="49">
        <f>'CSs and Loads'!W16</f>
        <v>4.999999166666709E-2</v>
      </c>
      <c r="K27" s="70" t="s">
        <v>112</v>
      </c>
      <c r="L27" s="49">
        <f>'CSs and Loads'!T23</f>
        <v>0</v>
      </c>
      <c r="M27" s="49">
        <f>'CSs and Loads'!U23</f>
        <v>0</v>
      </c>
      <c r="N27" s="49">
        <f>'CSs and Loads'!V23</f>
        <v>0</v>
      </c>
      <c r="O27" s="49">
        <f>'CSs and Loads'!W23</f>
        <v>0</v>
      </c>
      <c r="P27" s="70" t="s">
        <v>112</v>
      </c>
      <c r="Q27" s="49">
        <f>'CSs and Loads'!Y23</f>
        <v>-2.5074668569440815E-2</v>
      </c>
      <c r="R27" s="49">
        <f>'CSs and Loads'!Z23</f>
        <v>0</v>
      </c>
      <c r="S27" s="49">
        <f>'CSs and Loads'!AA23</f>
        <v>0</v>
      </c>
      <c r="T27" s="49">
        <f>'CSs and Loads'!AB23</f>
        <v>-0.43790584702263968</v>
      </c>
    </row>
    <row r="28" spans="1:20" s="52" customFormat="1" ht="16" thickBot="1">
      <c r="B28" s="72" t="s">
        <v>113</v>
      </c>
      <c r="C28" s="73">
        <f t="shared" si="1"/>
        <v>5.2624680740147686E-2</v>
      </c>
      <c r="D28" s="74">
        <f t="shared" si="2"/>
        <v>0</v>
      </c>
      <c r="E28" s="74">
        <f t="shared" si="3"/>
        <v>0</v>
      </c>
      <c r="F28" s="72" t="s">
        <v>113</v>
      </c>
      <c r="G28" s="75">
        <f>'CSs and Loads'!T17</f>
        <v>5.0000000000000001E-3</v>
      </c>
      <c r="H28" s="75">
        <f>'CSs and Loads'!U17</f>
        <v>0</v>
      </c>
      <c r="I28" s="75">
        <f>'CSs and Loads'!V17</f>
        <v>4.999999166666709E-2</v>
      </c>
      <c r="J28" s="75">
        <f>'CSs and Loads'!W17</f>
        <v>0</v>
      </c>
      <c r="K28" s="72" t="s">
        <v>113</v>
      </c>
      <c r="L28" s="75">
        <f>'CSs and Loads'!T24</f>
        <v>0</v>
      </c>
      <c r="M28" s="75">
        <f>'CSs and Loads'!U24</f>
        <v>0</v>
      </c>
      <c r="N28" s="75">
        <f>'CSs and Loads'!V24</f>
        <v>0</v>
      </c>
      <c r="O28" s="75">
        <f>'CSs and Loads'!W24</f>
        <v>0</v>
      </c>
      <c r="P28" s="72" t="s">
        <v>113</v>
      </c>
      <c r="Q28" s="75">
        <f>'CSs and Loads'!Y24</f>
        <v>0</v>
      </c>
      <c r="R28" s="75">
        <f>'CSs and Loads'!Z24</f>
        <v>0</v>
      </c>
      <c r="S28" s="75">
        <f>'CSs and Loads'!AA24</f>
        <v>0</v>
      </c>
      <c r="T28" s="75">
        <f>'CSs and Loads'!AB24</f>
        <v>0</v>
      </c>
    </row>
    <row r="29" spans="1:20">
      <c r="B29" s="6"/>
      <c r="C29" s="22"/>
      <c r="D29" s="22"/>
      <c r="F29" s="6"/>
      <c r="K29" s="6"/>
      <c r="P29" s="6"/>
    </row>
    <row r="30" spans="1:20">
      <c r="A30" s="23" t="s">
        <v>128</v>
      </c>
      <c r="B30" s="9" t="str">
        <f>'CSs and Loads'!A55</f>
        <v>vertical column</v>
      </c>
      <c r="C30" s="301" t="s">
        <v>152</v>
      </c>
      <c r="D30" s="301"/>
      <c r="E30" s="300" t="s">
        <v>153</v>
      </c>
    </row>
    <row r="31" spans="1:20">
      <c r="A31" s="44">
        <f>A24+1</f>
        <v>2</v>
      </c>
      <c r="C31" s="26" t="s">
        <v>109</v>
      </c>
      <c r="D31" s="26" t="s">
        <v>110</v>
      </c>
      <c r="E31" s="300"/>
      <c r="F31" s="34" t="s">
        <v>136</v>
      </c>
      <c r="K31" s="34" t="s">
        <v>137</v>
      </c>
      <c r="P31" s="34" t="s">
        <v>150</v>
      </c>
    </row>
    <row r="32" spans="1:20">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c r="A33" s="44" t="str">
        <f>IF('CSs and Loads'!A50=1,"yes","no")</f>
        <v>yes</v>
      </c>
      <c r="B33" s="70" t="s">
        <v>84</v>
      </c>
      <c r="C33" s="71">
        <f>((G33+H33+I33+J33)+SQRT(G33^2+H33^2+I33^2+J33^2))/2</f>
        <v>6.9328097525537577E-2</v>
      </c>
      <c r="D33" s="48">
        <f>L33+M33+N33+O33</f>
        <v>0</v>
      </c>
      <c r="E33" s="48">
        <f>Q33+R33+S33+T33</f>
        <v>1.6981689402700804E-2</v>
      </c>
      <c r="F33" s="70" t="s">
        <v>84</v>
      </c>
      <c r="G33" s="49">
        <f>'CSs and Loads'!T48</f>
        <v>5.0000000000000001E-3</v>
      </c>
      <c r="H33" s="49">
        <f>'CSs and Loads'!U48</f>
        <v>0</v>
      </c>
      <c r="I33" s="49">
        <f>'CSs and Loads'!V48</f>
        <v>2.49999979189397E-6</v>
      </c>
      <c r="J33" s="49">
        <f>'CSs and Loads'!W48</f>
        <v>6.6733322216669042E-2</v>
      </c>
      <c r="K33" s="70" t="s">
        <v>84</v>
      </c>
      <c r="L33" s="49">
        <f>'CSs and Loads'!T55</f>
        <v>0</v>
      </c>
      <c r="M33" s="49">
        <f>'CSs and Loads'!U55</f>
        <v>0</v>
      </c>
      <c r="N33" s="49">
        <f>'CSs and Loads'!V55</f>
        <v>0</v>
      </c>
      <c r="O33" s="49">
        <f>'CSs and Loads'!W55</f>
        <v>0</v>
      </c>
      <c r="P33" s="70" t="s">
        <v>84</v>
      </c>
      <c r="Q33" s="49">
        <f>'CSs and Loads'!Y55</f>
        <v>0</v>
      </c>
      <c r="R33" s="49">
        <f>'CSs and Loads'!Z55</f>
        <v>0</v>
      </c>
      <c r="S33" s="49">
        <f>'CSs and Loads'!AA55</f>
        <v>0</v>
      </c>
      <c r="T33" s="49">
        <f>'CSs and Loads'!AB55</f>
        <v>1.6981689402700804E-2</v>
      </c>
    </row>
    <row r="34" spans="1:20">
      <c r="A34" s="44">
        <f>'CSs and Loads'!A50</f>
        <v>1</v>
      </c>
      <c r="B34" s="70" t="s">
        <v>112</v>
      </c>
      <c r="C34" s="71">
        <f t="shared" ref="C34:C35" si="4">((G34+H34+I34+J34)+SQRT(G34^2+H34^2+I34^2+J34^2))/2</f>
        <v>0.13584747303265016</v>
      </c>
      <c r="D34" s="48">
        <f t="shared" ref="D34:D35" si="5">L34+M34+N34+O34</f>
        <v>0</v>
      </c>
      <c r="E34" s="48">
        <f t="shared" ref="E34:E35" si="6">Q34+R34+S34+T34</f>
        <v>-0.1072965623549012</v>
      </c>
      <c r="F34" s="70" t="s">
        <v>112</v>
      </c>
      <c r="G34" s="49">
        <f>'CSs and Loads'!T49</f>
        <v>5.0000000000000001E-3</v>
      </c>
      <c r="H34" s="49">
        <f>'CSs and Loads'!U49</f>
        <v>1.249999895946985E-6</v>
      </c>
      <c r="I34" s="49">
        <f>'CSs and Loads'!V49</f>
        <v>0</v>
      </c>
      <c r="J34" s="49">
        <f>'CSs and Loads'!W49</f>
        <v>0.13329997778055272</v>
      </c>
      <c r="K34" s="70" t="s">
        <v>112</v>
      </c>
      <c r="L34" s="49">
        <f>'CSs and Loads'!T56</f>
        <v>0</v>
      </c>
      <c r="M34" s="49">
        <f>'CSs and Loads'!U56</f>
        <v>0</v>
      </c>
      <c r="N34" s="49">
        <f>'CSs and Loads'!V56</f>
        <v>0</v>
      </c>
      <c r="O34" s="49">
        <f>'CSs and Loads'!W56</f>
        <v>0</v>
      </c>
      <c r="P34" s="70" t="s">
        <v>112</v>
      </c>
      <c r="Q34" s="49">
        <f>'CSs and Loads'!Y56</f>
        <v>-7.3375595364727361E-2</v>
      </c>
      <c r="R34" s="49">
        <f>'CSs and Loads'!Z56</f>
        <v>0</v>
      </c>
      <c r="S34" s="49">
        <f>'CSs and Loads'!AA56</f>
        <v>0</v>
      </c>
      <c r="T34" s="49">
        <f>'CSs and Loads'!AB56</f>
        <v>-3.3920966990173836E-2</v>
      </c>
    </row>
    <row r="35" spans="1:20" s="52" customFormat="1" ht="16" thickBot="1">
      <c r="B35" s="72" t="s">
        <v>113</v>
      </c>
      <c r="C35" s="73">
        <f t="shared" si="4"/>
        <v>9.9999990277778381E-3</v>
      </c>
      <c r="D35" s="74">
        <f t="shared" si="5"/>
        <v>0</v>
      </c>
      <c r="E35" s="74">
        <f t="shared" si="6"/>
        <v>0</v>
      </c>
      <c r="F35" s="72" t="s">
        <v>113</v>
      </c>
      <c r="G35" s="75">
        <f>'CSs and Loads'!T50</f>
        <v>5.0000000000000001E-3</v>
      </c>
      <c r="H35" s="75">
        <f>'CSs and Loads'!U50</f>
        <v>2.499999583333354E-3</v>
      </c>
      <c r="I35" s="75">
        <f>'CSs and Loads'!V50</f>
        <v>4.999999166666708E-3</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c r="A37" s="23" t="s">
        <v>128</v>
      </c>
      <c r="B37" s="9" t="str">
        <f>'CSs and Loads'!A88</f>
        <v>Z-Axis</v>
      </c>
      <c r="C37" s="301" t="s">
        <v>152</v>
      </c>
      <c r="D37" s="301"/>
      <c r="E37" s="300" t="s">
        <v>153</v>
      </c>
    </row>
    <row r="38" spans="1:20">
      <c r="A38" s="44">
        <f>A31+1</f>
        <v>3</v>
      </c>
      <c r="C38" s="26" t="s">
        <v>109</v>
      </c>
      <c r="D38" s="26" t="s">
        <v>110</v>
      </c>
      <c r="E38" s="300"/>
      <c r="F38" s="34" t="s">
        <v>136</v>
      </c>
      <c r="K38" s="34" t="s">
        <v>137</v>
      </c>
      <c r="P38" s="34" t="s">
        <v>150</v>
      </c>
    </row>
    <row r="39" spans="1:20">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c r="A40" s="44" t="str">
        <f>IF('CSs and Loads'!A83=1,"yes","no")</f>
        <v>no</v>
      </c>
      <c r="B40" s="70" t="s">
        <v>84</v>
      </c>
      <c r="C40" s="71">
        <f>((G40+H40+I40+J40)+SQRT(G40^2+H40^2+I40^2+J40^2))/2</f>
        <v>2.7784808271204955E-2</v>
      </c>
      <c r="D40" s="48">
        <f>L40+M40+N40+O40</f>
        <v>0</v>
      </c>
      <c r="E40" s="48">
        <f>Q40+R40+S40+T40</f>
        <v>1.9239051499548195E-3</v>
      </c>
      <c r="F40" s="70" t="s">
        <v>84</v>
      </c>
      <c r="G40" s="49">
        <f>'CSs and Loads'!T81</f>
        <v>5.0000000000000001E-3</v>
      </c>
      <c r="H40" s="49">
        <f>'CSs and Loads'!U81</f>
        <v>0</v>
      </c>
      <c r="I40" s="49">
        <f>'CSs and Loads'!V81</f>
        <v>2.4999997793939712E-5</v>
      </c>
      <c r="J40" s="49">
        <f>'CSs and Loads'!W81</f>
        <v>2.5024995831250868E-2</v>
      </c>
      <c r="K40" s="70" t="s">
        <v>84</v>
      </c>
      <c r="L40" s="49">
        <f>'CSs and Loads'!T88</f>
        <v>0</v>
      </c>
      <c r="M40" s="49">
        <f>'CSs and Loads'!U88</f>
        <v>0</v>
      </c>
      <c r="N40" s="49">
        <f>'CSs and Loads'!V88</f>
        <v>0</v>
      </c>
      <c r="O40" s="49">
        <f>'CSs and Loads'!W88</f>
        <v>0</v>
      </c>
      <c r="P40" s="70" t="s">
        <v>84</v>
      </c>
      <c r="Q40" s="49">
        <f>'CSs and Loads'!Y88</f>
        <v>0</v>
      </c>
      <c r="R40" s="49">
        <f>'CSs and Loads'!Z88</f>
        <v>0</v>
      </c>
      <c r="S40" s="49">
        <f>'CSs and Loads'!AA88</f>
        <v>0</v>
      </c>
      <c r="T40" s="49">
        <f>'CSs and Loads'!AB88</f>
        <v>1.9239051499548195E-3</v>
      </c>
    </row>
    <row r="41" spans="1:20">
      <c r="A41" s="44">
        <f>'CSs and Loads'!A83</f>
        <v>0</v>
      </c>
      <c r="B41" s="70" t="s">
        <v>112</v>
      </c>
      <c r="C41" s="71">
        <f t="shared" ref="C41:C42" si="7">((G41+H41+I41+J41)+SQRT(G41^2+H41^2+I41^2+J41^2))/2</f>
        <v>5.2618462543500361E-2</v>
      </c>
      <c r="D41" s="48">
        <f t="shared" ref="D41:D42" si="8">L41+M41+N41+O41</f>
        <v>0</v>
      </c>
      <c r="E41" s="48">
        <f t="shared" ref="E41:E42" si="9">Q41+R41+S41+T41</f>
        <v>-3.8816452179448332E-3</v>
      </c>
      <c r="F41" s="70" t="s">
        <v>112</v>
      </c>
      <c r="G41" s="49">
        <f>'CSs and Loads'!T82</f>
        <v>5.0000000000000001E-3</v>
      </c>
      <c r="H41" s="49">
        <f>'CSs and Loads'!U82</f>
        <v>1.2499998959469851E-5</v>
      </c>
      <c r="I41" s="49">
        <f>'CSs and Loads'!V82</f>
        <v>0</v>
      </c>
      <c r="J41" s="49">
        <f>'CSs and Loads'!W82</f>
        <v>4.9987491667707225E-2</v>
      </c>
      <c r="K41" s="70" t="s">
        <v>112</v>
      </c>
      <c r="L41" s="49">
        <f>'CSs and Loads'!T89</f>
        <v>0</v>
      </c>
      <c r="M41" s="49">
        <f>'CSs and Loads'!U89</f>
        <v>0</v>
      </c>
      <c r="N41" s="49">
        <f>'CSs and Loads'!V89</f>
        <v>0</v>
      </c>
      <c r="O41" s="49">
        <f>'CSs and Loads'!W89</f>
        <v>0</v>
      </c>
      <c r="P41" s="70" t="s">
        <v>112</v>
      </c>
      <c r="Q41" s="49">
        <f>'CSs and Loads'!Y89</f>
        <v>-3.8639876352395674E-5</v>
      </c>
      <c r="R41" s="49">
        <f>'CSs and Loads'!Z89</f>
        <v>0</v>
      </c>
      <c r="S41" s="49">
        <f>'CSs and Loads'!AA89</f>
        <v>0</v>
      </c>
      <c r="T41" s="49">
        <f>'CSs and Loads'!AB89</f>
        <v>-3.8430053415924375E-3</v>
      </c>
    </row>
    <row r="42" spans="1:20" s="52" customFormat="1" ht="16" thickBot="1">
      <c r="B42" s="72" t="s">
        <v>113</v>
      </c>
      <c r="C42" s="73">
        <f t="shared" si="7"/>
        <v>6.806241927449419E-2</v>
      </c>
      <c r="D42" s="74">
        <f t="shared" si="8"/>
        <v>0</v>
      </c>
      <c r="E42" s="74">
        <f t="shared" si="9"/>
        <v>0</v>
      </c>
      <c r="F42" s="72" t="s">
        <v>113</v>
      </c>
      <c r="G42" s="75">
        <f>'CSs and Loads'!T83</f>
        <v>5.0000000000000001E-3</v>
      </c>
      <c r="H42" s="75">
        <f>'CSs and Loads'!U83</f>
        <v>2.4999995833333545E-2</v>
      </c>
      <c r="I42" s="75">
        <f>'CSs and Loads'!V83</f>
        <v>4.9999991416667132E-2</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v>
      </c>
      <c r="S42" s="75">
        <f>'CSs and Loads'!AA90</f>
        <v>0</v>
      </c>
      <c r="T42" s="75">
        <f>'CSs and Loads'!AB90</f>
        <v>0</v>
      </c>
    </row>
    <row r="44" spans="1:20">
      <c r="A44" s="23" t="s">
        <v>128</v>
      </c>
      <c r="B44" s="9" t="str">
        <f>'CSs and Loads'!A121</f>
        <v>Y-axis</v>
      </c>
      <c r="C44" s="301" t="s">
        <v>152</v>
      </c>
      <c r="D44" s="301"/>
      <c r="E44" s="300" t="s">
        <v>153</v>
      </c>
    </row>
    <row r="45" spans="1:20">
      <c r="A45" s="44">
        <f>A38+1</f>
        <v>4</v>
      </c>
      <c r="C45" s="26" t="s">
        <v>109</v>
      </c>
      <c r="D45" s="26" t="s">
        <v>110</v>
      </c>
      <c r="E45" s="300"/>
      <c r="F45" s="34" t="s">
        <v>136</v>
      </c>
      <c r="K45" s="34" t="s">
        <v>137</v>
      </c>
      <c r="P45" s="34" t="s">
        <v>150</v>
      </c>
    </row>
    <row r="46" spans="1:20">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c r="A47" s="44" t="str">
        <f>IF('CSs and Loads'!A116=1,"yes","no")</f>
        <v>no</v>
      </c>
      <c r="B47" s="70" t="s">
        <v>84</v>
      </c>
      <c r="C47" s="71">
        <f>((G47+H47+I47+J47)+SQRT(G47^2+H47^2+I47^2+J47^2))/2</f>
        <v>5.2705186858387473E-2</v>
      </c>
      <c r="D47" s="48">
        <f>L47+M47+N47+O47</f>
        <v>0</v>
      </c>
      <c r="E47" s="48">
        <f>Q47+R47+S47+T47</f>
        <v>8.146778127524382E-3</v>
      </c>
      <c r="F47" s="70" t="s">
        <v>84</v>
      </c>
      <c r="G47" s="49">
        <f>'CSs and Loads'!T114</f>
        <v>5.0000000000000001E-3</v>
      </c>
      <c r="H47" s="49">
        <f>'CSs and Loads'!U114</f>
        <v>0</v>
      </c>
      <c r="I47" s="49">
        <f>'CSs and Loads'!V114</f>
        <v>5.3749995527141473E-5</v>
      </c>
      <c r="J47" s="49">
        <f>'CSs and Loads'!W114</f>
        <v>5.0053741662191023E-2</v>
      </c>
      <c r="K47" s="70" t="s">
        <v>84</v>
      </c>
      <c r="L47" s="49">
        <f>'CSs and Loads'!T121</f>
        <v>0</v>
      </c>
      <c r="M47" s="49">
        <f>'CSs and Loads'!U121</f>
        <v>0</v>
      </c>
      <c r="N47" s="49">
        <f>'CSs and Loads'!V121</f>
        <v>0</v>
      </c>
      <c r="O47" s="49">
        <f>'CSs and Loads'!W121</f>
        <v>0</v>
      </c>
      <c r="P47" s="70" t="s">
        <v>84</v>
      </c>
      <c r="Q47" s="49">
        <f>'CSs and Loads'!Y121</f>
        <v>0</v>
      </c>
      <c r="R47" s="49">
        <f>'CSs and Loads'!Z121</f>
        <v>0</v>
      </c>
      <c r="S47" s="49">
        <f>'CSs and Loads'!AA121</f>
        <v>0</v>
      </c>
      <c r="T47" s="49">
        <f>'CSs and Loads'!AB121</f>
        <v>8.146778127524382E-3</v>
      </c>
    </row>
    <row r="48" spans="1:20">
      <c r="A48" s="44">
        <f>'CSs and Loads'!A116</f>
        <v>0</v>
      </c>
      <c r="B48" s="70" t="s">
        <v>112</v>
      </c>
      <c r="C48" s="71">
        <f t="shared" ref="C48:C49" si="10">((G48+H48+I48+J48)+SQRT(G48^2+H48^2+I48^2+J48^2))/2</f>
        <v>0.11004560517331914</v>
      </c>
      <c r="D48" s="48">
        <f t="shared" ref="D48:D49" si="11">L48+M48+N48+O48</f>
        <v>0</v>
      </c>
      <c r="E48" s="48">
        <f t="shared" ref="E48:E49" si="12">Q48+R48+S48+T48</f>
        <v>-1.7492695036149329E-2</v>
      </c>
      <c r="F48" s="70" t="s">
        <v>112</v>
      </c>
      <c r="G48" s="49">
        <f>'CSs and Loads'!T115</f>
        <v>5.0000000000000001E-3</v>
      </c>
      <c r="H48" s="49">
        <f>'CSs and Loads'!U115</f>
        <v>2.4999997668939736E-5</v>
      </c>
      <c r="I48" s="49">
        <f>'CSs and Loads'!V115</f>
        <v>0</v>
      </c>
      <c r="J48" s="49">
        <f>'CSs and Loads'!W115</f>
        <v>0.10747498208541523</v>
      </c>
      <c r="K48" s="70" t="s">
        <v>112</v>
      </c>
      <c r="L48" s="49">
        <f>'CSs and Loads'!T122</f>
        <v>0</v>
      </c>
      <c r="M48" s="49">
        <f>'CSs and Loads'!U122</f>
        <v>0</v>
      </c>
      <c r="N48" s="49">
        <f>'CSs and Loads'!V122</f>
        <v>0</v>
      </c>
      <c r="O48" s="49">
        <f>'CSs and Loads'!W122</f>
        <v>0</v>
      </c>
      <c r="P48" s="70" t="s">
        <v>112</v>
      </c>
      <c r="Q48" s="49">
        <f>'CSs and Loads'!Y122</f>
        <v>-1E-10</v>
      </c>
      <c r="R48" s="49">
        <f>'CSs and Loads'!Z122</f>
        <v>0</v>
      </c>
      <c r="S48" s="49">
        <f>'CSs and Loads'!AA122</f>
        <v>0</v>
      </c>
      <c r="T48" s="49">
        <f>'CSs and Loads'!AB122</f>
        <v>-1.7492694936149328E-2</v>
      </c>
    </row>
    <row r="49" spans="1:20" s="52" customFormat="1" ht="16" thickBot="1">
      <c r="B49" s="72" t="s">
        <v>113</v>
      </c>
      <c r="C49" s="73">
        <f t="shared" si="10"/>
        <v>0.1405821980800443</v>
      </c>
      <c r="D49" s="74">
        <f t="shared" si="11"/>
        <v>0</v>
      </c>
      <c r="E49" s="74">
        <f t="shared" si="12"/>
        <v>0</v>
      </c>
      <c r="F49" s="72" t="s">
        <v>113</v>
      </c>
      <c r="G49" s="75">
        <f>'CSs and Loads'!T116</f>
        <v>5.0000000000000001E-3</v>
      </c>
      <c r="H49" s="75">
        <f>'CSs and Loads'!U116</f>
        <v>4.9999991166667201E-2</v>
      </c>
      <c r="I49" s="75">
        <f>'CSs and Loads'!V116</f>
        <v>0.10749998208333431</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0</v>
      </c>
      <c r="S49" s="75">
        <f>'CSs and Loads'!AA123</f>
        <v>0</v>
      </c>
      <c r="T49" s="75">
        <f>'CSs and Loads'!AB123</f>
        <v>0</v>
      </c>
    </row>
    <row r="51" spans="1:20">
      <c r="A51" s="23" t="s">
        <v>128</v>
      </c>
      <c r="B51" s="9" t="str">
        <f>'CSs and Loads'!A154</f>
        <v>Bridge</v>
      </c>
      <c r="C51" s="301" t="s">
        <v>152</v>
      </c>
      <c r="D51" s="301"/>
      <c r="E51" s="300" t="s">
        <v>153</v>
      </c>
    </row>
    <row r="52" spans="1:20">
      <c r="A52" s="44">
        <f>A45+1</f>
        <v>5</v>
      </c>
      <c r="C52" s="26" t="s">
        <v>109</v>
      </c>
      <c r="D52" s="26" t="s">
        <v>110</v>
      </c>
      <c r="E52" s="300"/>
      <c r="F52" s="34" t="s">
        <v>136</v>
      </c>
      <c r="K52" s="34" t="s">
        <v>137</v>
      </c>
      <c r="P52" s="34" t="s">
        <v>150</v>
      </c>
    </row>
    <row r="53" spans="1:20">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c r="A54" s="44" t="str">
        <f>IF('CSs and Loads'!A149=1,"yes","no")</f>
        <v>no</v>
      </c>
      <c r="B54" s="70" t="s">
        <v>84</v>
      </c>
      <c r="C54" s="71">
        <f>((G54+H54+I54+J54)+SQRT(G54^2+H54^2+I54^2+J54^2))/2</f>
        <v>5.2714669764213767E-2</v>
      </c>
      <c r="D54" s="48">
        <f>L54+M54+N54+O54</f>
        <v>0</v>
      </c>
      <c r="E54" s="48">
        <f>Q54+R54+S54+T54</f>
        <v>6.9970765364136137E-3</v>
      </c>
      <c r="F54" s="70" t="s">
        <v>84</v>
      </c>
      <c r="G54" s="49">
        <f>'CSs and Loads'!T147</f>
        <v>5.0000000000000001E-3</v>
      </c>
      <c r="H54" s="49">
        <f>'CSs and Loads'!U147</f>
        <v>0</v>
      </c>
      <c r="I54" s="49">
        <f>'CSs and Loads'!V147</f>
        <v>6.0079994399905916E-5</v>
      </c>
      <c r="J54" s="49">
        <f>'CSs and Loads'!W147</f>
        <v>5.0060071661664589E-2</v>
      </c>
      <c r="K54" s="70" t="s">
        <v>84</v>
      </c>
      <c r="L54" s="49">
        <f>'CSs and Loads'!T154</f>
        <v>0</v>
      </c>
      <c r="M54" s="49">
        <f>'CSs and Loads'!U154</f>
        <v>0</v>
      </c>
      <c r="N54" s="49">
        <f>'CSs and Loads'!V154</f>
        <v>0</v>
      </c>
      <c r="O54" s="49">
        <f>'CSs and Loads'!W154</f>
        <v>0</v>
      </c>
      <c r="P54" s="70" t="s">
        <v>84</v>
      </c>
      <c r="Q54" s="49">
        <f>'CSs and Loads'!Y154</f>
        <v>9.8426345078225373E-4</v>
      </c>
      <c r="R54" s="49">
        <f>'CSs and Loads'!Z154</f>
        <v>0</v>
      </c>
      <c r="S54" s="49">
        <f>'CSs and Loads'!AA154</f>
        <v>0</v>
      </c>
      <c r="T54" s="49">
        <f>'CSs and Loads'!AB154</f>
        <v>6.0128130856313602E-3</v>
      </c>
    </row>
    <row r="55" spans="1:20">
      <c r="A55" s="44">
        <f>'CSs and Loads'!A149</f>
        <v>0</v>
      </c>
      <c r="B55" s="70" t="s">
        <v>112</v>
      </c>
      <c r="C55" s="71">
        <f t="shared" ref="C55:C56" si="13">((G55+H55+I55+J55)+SQRT(G55^2+H55^2+I55^2+J55^2))/2</f>
        <v>0.12269948357795882</v>
      </c>
      <c r="D55" s="48">
        <f t="shared" ref="D55:D56" si="14">L55+M55+N55+O55</f>
        <v>0</v>
      </c>
      <c r="E55" s="48">
        <f t="shared" ref="E55:E56" si="15">Q55+R55+S55+T55</f>
        <v>-1.4468553504891311E-2</v>
      </c>
      <c r="F55" s="70" t="s">
        <v>112</v>
      </c>
      <c r="G55" s="49">
        <f>'CSs and Loads'!T148</f>
        <v>5.0000000000000001E-3</v>
      </c>
      <c r="H55" s="49">
        <f>'CSs and Loads'!U148</f>
        <v>2.4999997918939715E-5</v>
      </c>
      <c r="I55" s="49">
        <f>'CSs and Loads'!V148</f>
        <v>0</v>
      </c>
      <c r="J55" s="49">
        <f>'CSs and Loads'!W148</f>
        <v>0.12013497997541557</v>
      </c>
      <c r="K55" s="70" t="s">
        <v>112</v>
      </c>
      <c r="L55" s="49">
        <f>'CSs and Loads'!T155</f>
        <v>0</v>
      </c>
      <c r="M55" s="49">
        <f>'CSs and Loads'!U155</f>
        <v>0</v>
      </c>
      <c r="N55" s="49">
        <f>'CSs and Loads'!V155</f>
        <v>0</v>
      </c>
      <c r="O55" s="49">
        <f>'CSs and Loads'!W155</f>
        <v>0</v>
      </c>
      <c r="P55" s="70" t="s">
        <v>112</v>
      </c>
      <c r="Q55" s="49">
        <f>'CSs and Loads'!Y155</f>
        <v>-3.890616997935169E-5</v>
      </c>
      <c r="R55" s="49">
        <f>'CSs and Loads'!Z155</f>
        <v>0</v>
      </c>
      <c r="S55" s="49">
        <f>'CSs and Loads'!AA155</f>
        <v>0</v>
      </c>
      <c r="T55" s="49">
        <f>'CSs and Loads'!AB155</f>
        <v>-1.442964733491196E-2</v>
      </c>
    </row>
    <row r="56" spans="1:20" s="52" customFormat="1" ht="16" thickBot="1">
      <c r="B56" s="72" t="s">
        <v>113</v>
      </c>
      <c r="C56" s="73">
        <f t="shared" si="13"/>
        <v>0.15270183190886888</v>
      </c>
      <c r="D56" s="74">
        <f t="shared" si="14"/>
        <v>0</v>
      </c>
      <c r="E56" s="74">
        <f t="shared" si="15"/>
        <v>0</v>
      </c>
      <c r="F56" s="72" t="s">
        <v>113</v>
      </c>
      <c r="G56" s="75">
        <f>'CSs and Loads'!T149</f>
        <v>5.0000000000000001E-3</v>
      </c>
      <c r="H56" s="75">
        <f>'CSs and Loads'!U149</f>
        <v>4.9999991666667118E-2</v>
      </c>
      <c r="I56" s="75">
        <f>'CSs and Loads'!V149</f>
        <v>0.12015997877173461</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0</v>
      </c>
      <c r="S56" s="75">
        <f>'CSs and Loads'!AA156</f>
        <v>0</v>
      </c>
      <c r="T56" s="75">
        <f>'CSs and Loads'!AB156</f>
        <v>0</v>
      </c>
    </row>
    <row r="58" spans="1:20">
      <c r="A58" s="23" t="s">
        <v>128</v>
      </c>
      <c r="B58" s="9" t="str">
        <f>'CSs and Loads'!A187</f>
        <v>X-axis</v>
      </c>
      <c r="C58" s="301" t="s">
        <v>152</v>
      </c>
      <c r="D58" s="301"/>
      <c r="E58" s="300" t="s">
        <v>153</v>
      </c>
    </row>
    <row r="59" spans="1:20">
      <c r="A59" s="44">
        <f>A52+1</f>
        <v>6</v>
      </c>
      <c r="C59" s="26" t="s">
        <v>109</v>
      </c>
      <c r="D59" s="26" t="s">
        <v>110</v>
      </c>
      <c r="E59" s="300"/>
      <c r="F59" s="34" t="s">
        <v>136</v>
      </c>
      <c r="K59" s="34" t="s">
        <v>137</v>
      </c>
      <c r="P59" s="34" t="s">
        <v>150</v>
      </c>
    </row>
    <row r="60" spans="1:20">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c r="A61" s="44" t="str">
        <f>IF('CSs and Loads'!A182=1,"yes","no")</f>
        <v>no</v>
      </c>
      <c r="B61" s="70" t="s">
        <v>84</v>
      </c>
      <c r="C61" s="71">
        <f>((G61+H61+I61+J61)+SQRT(G61^2+H61^2+I61^2+J61^2))/2</f>
        <v>0.114874295204532</v>
      </c>
      <c r="D61" s="48">
        <f>L61+M61+N61+O61</f>
        <v>0</v>
      </c>
      <c r="E61" s="48">
        <f>Q61+R61+S61+T61</f>
        <v>9.10735495446959E-3</v>
      </c>
      <c r="F61" s="70" t="s">
        <v>84</v>
      </c>
      <c r="G61" s="49">
        <f>'CSs and Loads'!T180</f>
        <v>5.0000000000000001E-3</v>
      </c>
      <c r="H61" s="49">
        <f>'CSs and Loads'!U180</f>
        <v>0</v>
      </c>
      <c r="I61" s="49">
        <f>'CSs and Loads'!V180</f>
        <v>8.0099905844001368E-2</v>
      </c>
      <c r="J61" s="49">
        <f>'CSs and Loads'!W180</f>
        <v>5.0060071661664589E-2</v>
      </c>
      <c r="K61" s="70" t="s">
        <v>84</v>
      </c>
      <c r="L61" s="49">
        <f>'CSs and Loads'!T187</f>
        <v>0</v>
      </c>
      <c r="M61" s="49">
        <f>'CSs and Loads'!U187</f>
        <v>0</v>
      </c>
      <c r="N61" s="49">
        <f>'CSs and Loads'!V187</f>
        <v>0</v>
      </c>
      <c r="O61" s="49">
        <f>'CSs and Loads'!W187</f>
        <v>0</v>
      </c>
      <c r="P61" s="70" t="s">
        <v>84</v>
      </c>
      <c r="Q61" s="49">
        <f>'CSs and Loads'!Y187</f>
        <v>0</v>
      </c>
      <c r="R61" s="49">
        <f>'CSs and Loads'!Z187</f>
        <v>0</v>
      </c>
      <c r="S61" s="49">
        <f>'CSs and Loads'!AA187</f>
        <v>0</v>
      </c>
      <c r="T61" s="49">
        <f>'CSs and Loads'!AB187</f>
        <v>9.10735495446959E-3</v>
      </c>
    </row>
    <row r="62" spans="1:20">
      <c r="A62" s="44">
        <f>'CSs and Loads'!A182</f>
        <v>0</v>
      </c>
      <c r="B62" s="70" t="s">
        <v>112</v>
      </c>
      <c r="C62" s="71">
        <f t="shared" ref="C62:C63" si="16">((G62+H62+I62+J62)+SQRT(G62^2+H62^2+I62^2+J62^2))/2</f>
        <v>0.17492173926342708</v>
      </c>
      <c r="D62" s="48">
        <f t="shared" ref="D62:D63" si="17">L62+M62+N62+O62</f>
        <v>0</v>
      </c>
      <c r="E62" s="48">
        <f t="shared" ref="E62:E63" si="18">Q62+R62+S62+T62</f>
        <v>-3.1949343815146067E-2</v>
      </c>
      <c r="F62" s="70" t="s">
        <v>112</v>
      </c>
      <c r="G62" s="49">
        <f>'CSs and Loads'!T181</f>
        <v>5.0000000000000001E-3</v>
      </c>
      <c r="H62" s="49">
        <f>'CSs and Loads'!U181</f>
        <v>8.0184986637920078E-2</v>
      </c>
      <c r="I62" s="49">
        <f>'CSs and Loads'!V181</f>
        <v>0</v>
      </c>
      <c r="J62" s="49">
        <f>'CSs and Loads'!W181</f>
        <v>0.12013497997541557</v>
      </c>
      <c r="K62" s="70" t="s">
        <v>112</v>
      </c>
      <c r="L62" s="49">
        <f>'CSs and Loads'!T188</f>
        <v>0</v>
      </c>
      <c r="M62" s="49">
        <f>'CSs and Loads'!U188</f>
        <v>0</v>
      </c>
      <c r="N62" s="49">
        <f>'CSs and Loads'!V188</f>
        <v>0</v>
      </c>
      <c r="O62" s="49">
        <f>'CSs and Loads'!W188</f>
        <v>0</v>
      </c>
      <c r="P62" s="70" t="s">
        <v>112</v>
      </c>
      <c r="Q62" s="49">
        <f>'CSs and Loads'!Y188</f>
        <v>-7.4323634186467674E-4</v>
      </c>
      <c r="R62" s="49">
        <f>'CSs and Loads'!Z188</f>
        <v>-9.350127871836594E-3</v>
      </c>
      <c r="S62" s="49">
        <f>'CSs and Loads'!AA188</f>
        <v>0</v>
      </c>
      <c r="T62" s="49">
        <f>'CSs and Loads'!AB188</f>
        <v>-2.1855979601444798E-2</v>
      </c>
    </row>
    <row r="63" spans="1:20" s="52" customFormat="1" ht="16" thickBot="1">
      <c r="B63" s="72" t="s">
        <v>113</v>
      </c>
      <c r="C63" s="73">
        <f t="shared" si="16"/>
        <v>0.15271263237444421</v>
      </c>
      <c r="D63" s="74">
        <f t="shared" si="17"/>
        <v>0</v>
      </c>
      <c r="E63" s="74">
        <f t="shared" si="18"/>
        <v>5.8256736350111461E-3</v>
      </c>
      <c r="F63" s="72" t="s">
        <v>113</v>
      </c>
      <c r="G63" s="75">
        <f>'CSs and Loads'!T182</f>
        <v>5.0000000000000001E-3</v>
      </c>
      <c r="H63" s="75">
        <f>'CSs and Loads'!U182</f>
        <v>4.9959911670009696E-2</v>
      </c>
      <c r="I63" s="75">
        <f>'CSs and Loads'!V182</f>
        <v>0.1202000587679881</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5.8256736350111461E-3</v>
      </c>
      <c r="S63" s="75">
        <f>'CSs and Loads'!AA189</f>
        <v>0</v>
      </c>
      <c r="T63" s="75">
        <f>'CSs and Loads'!AB189</f>
        <v>0</v>
      </c>
    </row>
    <row r="65" spans="1:20">
      <c r="A65" s="23" t="s">
        <v>128</v>
      </c>
      <c r="B65" s="9" t="str">
        <f>'CSs and Loads'!A220</f>
        <v>Bed &amp; Frame</v>
      </c>
      <c r="C65" s="301" t="s">
        <v>152</v>
      </c>
      <c r="D65" s="301"/>
      <c r="E65" s="300" t="s">
        <v>153</v>
      </c>
    </row>
    <row r="66" spans="1:20">
      <c r="A66" s="44">
        <f>A59+1</f>
        <v>7</v>
      </c>
      <c r="C66" s="26" t="s">
        <v>109</v>
      </c>
      <c r="D66" s="26" t="s">
        <v>110</v>
      </c>
      <c r="E66" s="300"/>
      <c r="F66" s="34" t="s">
        <v>136</v>
      </c>
      <c r="K66" s="34" t="s">
        <v>137</v>
      </c>
      <c r="P66" s="34" t="s">
        <v>150</v>
      </c>
    </row>
    <row r="67" spans="1:20">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c r="A68" s="44" t="str">
        <f>IF('CSs and Loads'!A215=1,"yes","no")</f>
        <v>no</v>
      </c>
      <c r="B68" s="70" t="s">
        <v>84</v>
      </c>
      <c r="C68" s="71">
        <f>((G68+H68+I68+J68)+SQRT(G68^2+H68^2+I68^2+J68^2))/2</f>
        <v>5.0000000000000001E-3</v>
      </c>
      <c r="D68" s="48">
        <f>L68+M68+N68+O68</f>
        <v>0</v>
      </c>
      <c r="E68" s="48">
        <f>Q68+R68+S68+T68</f>
        <v>1.1511117894743767E-3</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1.1511117894743767E-3</v>
      </c>
      <c r="R68" s="49">
        <f>'CSs and Loads'!Z220</f>
        <v>0</v>
      </c>
      <c r="S68" s="49">
        <f>'CSs and Loads'!AA220</f>
        <v>0</v>
      </c>
      <c r="T68" s="49">
        <f>'CSs and Loads'!AB220</f>
        <v>0</v>
      </c>
    </row>
    <row r="69" spans="1:20">
      <c r="A69" s="44">
        <f>'CSs and Loads'!A215</f>
        <v>0</v>
      </c>
      <c r="B69" s="70" t="s">
        <v>112</v>
      </c>
      <c r="C69" s="71">
        <f t="shared" ref="C69:C70" si="19">((G69+H69+I69+J69)+SQRT(G69^2+H69^2+I69^2+J69^2))/2</f>
        <v>5.0000000000000001E-3</v>
      </c>
      <c r="D69" s="48">
        <f t="shared" ref="D69:D70" si="20">L69+M69+N69+O69</f>
        <v>0</v>
      </c>
      <c r="E69" s="48">
        <f t="shared" ref="E69:E70" si="21">Q69+R69+S69+T69</f>
        <v>-5.7308085130663011E-5</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-5.7308085130663011E-5</v>
      </c>
      <c r="R69" s="49">
        <f>'CSs and Loads'!Z221</f>
        <v>0</v>
      </c>
      <c r="S69" s="49">
        <f>'CSs and Loads'!AA221</f>
        <v>0</v>
      </c>
      <c r="T69" s="49">
        <f>'CSs and Loads'!AB221</f>
        <v>0</v>
      </c>
    </row>
    <row r="70" spans="1:20" s="52" customFormat="1" ht="16" thickBot="1">
      <c r="B70" s="72" t="s">
        <v>113</v>
      </c>
      <c r="C70" s="73">
        <f t="shared" si="19"/>
        <v>5.0000000000000001E-3</v>
      </c>
      <c r="D70" s="74">
        <f t="shared" si="20"/>
        <v>0</v>
      </c>
      <c r="E70" s="74">
        <f t="shared" si="21"/>
        <v>2.5078033420581148E-3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2.5078033420581148E-3</v>
      </c>
      <c r="R70" s="75">
        <f>'CSs and Loads'!Z222</f>
        <v>0</v>
      </c>
      <c r="S70" s="75">
        <f>'CSs and Loads'!AA222</f>
        <v>0</v>
      </c>
      <c r="T70" s="75">
        <f>'CSs and Loads'!AB222</f>
        <v>0</v>
      </c>
    </row>
    <row r="72" spans="1:20">
      <c r="A72" s="23" t="s">
        <v>128</v>
      </c>
      <c r="B72" s="9" t="str">
        <f>'CSs and Loads'!A253</f>
        <v>Thing 8</v>
      </c>
      <c r="C72" s="301" t="s">
        <v>152</v>
      </c>
      <c r="D72" s="301"/>
      <c r="E72" s="300" t="s">
        <v>153</v>
      </c>
    </row>
    <row r="73" spans="1:20">
      <c r="A73" s="44">
        <f>A66+1</f>
        <v>8</v>
      </c>
      <c r="C73" s="26" t="s">
        <v>109</v>
      </c>
      <c r="D73" s="26" t="s">
        <v>110</v>
      </c>
      <c r="E73" s="300"/>
      <c r="F73" s="34" t="s">
        <v>136</v>
      </c>
      <c r="K73" s="34" t="s">
        <v>137</v>
      </c>
      <c r="P73" s="34" t="s">
        <v>150</v>
      </c>
    </row>
    <row r="74" spans="1:20">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c r="A75" s="44" t="str">
        <f>IF('CSs and Loads'!A248=1,"yes","no")</f>
        <v>no</v>
      </c>
      <c r="B75" s="70" t="s">
        <v>84</v>
      </c>
      <c r="C75" s="71">
        <f>((G75+H75+I75+J75)+SQRT(G75^2+H75^2+I75^2+J75^2))/2</f>
        <v>5.0000000000000001E-3</v>
      </c>
      <c r="D75" s="48">
        <f>L75+M75+N75+O75</f>
        <v>0</v>
      </c>
      <c r="E75" s="48">
        <f>Q75+R75+S75+T75</f>
        <v>0</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0</v>
      </c>
      <c r="R75" s="49">
        <f>'CSs and Loads'!Z253</f>
        <v>0</v>
      </c>
      <c r="S75" s="49">
        <f>'CSs and Loads'!AA253</f>
        <v>0</v>
      </c>
      <c r="T75" s="49">
        <f>'CSs and Loads'!AB253</f>
        <v>0</v>
      </c>
    </row>
    <row r="76" spans="1:20">
      <c r="A76" s="44">
        <f>'CSs and Loads'!A248</f>
        <v>0</v>
      </c>
      <c r="B76" s="70" t="s">
        <v>112</v>
      </c>
      <c r="C76" s="71">
        <f t="shared" ref="C76:C77" si="22">((G76+H76+I76+J76)+SQRT(G76^2+H76^2+I76^2+J76^2))/2</f>
        <v>5.0000000000000001E-3</v>
      </c>
      <c r="D76" s="48">
        <f t="shared" ref="D76:D77" si="23">L76+M76+N76+O76</f>
        <v>0</v>
      </c>
      <c r="E76" s="48">
        <f t="shared" ref="E76:E77" si="24">Q76+R76+S76+T76</f>
        <v>-3.8639876352395674E-5</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-3.8639876352395674E-5</v>
      </c>
      <c r="R76" s="49">
        <f>'CSs and Loads'!Z254</f>
        <v>0</v>
      </c>
      <c r="S76" s="49">
        <f>'CSs and Loads'!AA254</f>
        <v>0</v>
      </c>
      <c r="T76" s="49">
        <f>'CSs and Loads'!AB254</f>
        <v>0</v>
      </c>
    </row>
    <row r="77" spans="1:20" s="52" customFormat="1" ht="16" thickBot="1">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9" spans="1:20">
      <c r="A79" s="23" t="s">
        <v>128</v>
      </c>
      <c r="B79" s="9" t="str">
        <f>'CSs and Loads'!A286</f>
        <v>Thing 9</v>
      </c>
      <c r="C79" s="301" t="s">
        <v>152</v>
      </c>
      <c r="D79" s="301"/>
      <c r="E79" s="300" t="s">
        <v>153</v>
      </c>
    </row>
    <row r="80" spans="1:20">
      <c r="A80" s="44">
        <f>A73+1</f>
        <v>9</v>
      </c>
      <c r="C80" s="26" t="s">
        <v>109</v>
      </c>
      <c r="D80" s="26" t="s">
        <v>110</v>
      </c>
      <c r="E80" s="300"/>
      <c r="F80" s="34" t="s">
        <v>136</v>
      </c>
      <c r="K80" s="34" t="s">
        <v>137</v>
      </c>
      <c r="P80" s="34" t="s">
        <v>150</v>
      </c>
    </row>
    <row r="81" spans="1:20">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c r="A82" s="44" t="str">
        <f>IF('CSs and Loads'!A281=1,"yes","no")</f>
        <v>no</v>
      </c>
      <c r="B82" s="70" t="s">
        <v>84</v>
      </c>
      <c r="C82" s="71">
        <f>((G82+H82+I82+J82)+SQRT(G82^2+H82^2+I82^2+J82^2))/2</f>
        <v>5.0005000249557325E-3</v>
      </c>
      <c r="D82" s="48">
        <f>L82+M82+N82+O82</f>
        <v>0</v>
      </c>
      <c r="E82" s="48">
        <f>Q82+R82+S82+T82</f>
        <v>7.5702608571306335E-10</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0</v>
      </c>
      <c r="R82" s="49">
        <f>'CSs and Loads'!Z286</f>
        <v>0</v>
      </c>
      <c r="S82" s="49">
        <f>'CSs and Loads'!AA286</f>
        <v>0</v>
      </c>
      <c r="T82" s="49">
        <f>'CSs and Loads'!AB286</f>
        <v>7.5702608571306335E-10</v>
      </c>
    </row>
    <row r="83" spans="1:20">
      <c r="A83" s="44">
        <f>'CSs and Loads'!A281</f>
        <v>0</v>
      </c>
      <c r="B83" s="70" t="s">
        <v>112</v>
      </c>
      <c r="C83" s="71">
        <f t="shared" ref="C83:C84" si="25">((G83+H83+I83+J83)+SQRT(G83^2+H83^2+I83^2+J83^2))/2</f>
        <v>5.5495096571200539E-3</v>
      </c>
      <c r="D83" s="48">
        <f t="shared" ref="D83:D84" si="26">L83+M83+N83+O83</f>
        <v>0</v>
      </c>
      <c r="E83" s="48">
        <f t="shared" ref="E83:E84" si="27">Q83+R83+S83+T83</f>
        <v>-4.015392839794345E-5</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-3.8639876352395674E-5</v>
      </c>
      <c r="R83" s="49">
        <f>'CSs and Loads'!Z287</f>
        <v>0</v>
      </c>
      <c r="S83" s="49">
        <f>'CSs and Loads'!AA287</f>
        <v>0</v>
      </c>
      <c r="T83" s="49">
        <f>'CSs and Loads'!AB287</f>
        <v>-1.5140520455477743E-6</v>
      </c>
    </row>
    <row r="84" spans="1:20" s="52" customFormat="1" ht="16" thickBot="1">
      <c r="B84" s="72" t="s">
        <v>113</v>
      </c>
      <c r="C84" s="73">
        <f t="shared" si="25"/>
        <v>5.549509651139475E-3</v>
      </c>
      <c r="D84" s="74">
        <f t="shared" si="26"/>
        <v>0</v>
      </c>
      <c r="E84" s="74">
        <f t="shared" si="27"/>
        <v>0</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6" spans="1:20">
      <c r="A86" s="23" t="s">
        <v>128</v>
      </c>
      <c r="B86" s="9" t="str">
        <f>'CSs and Loads'!A319</f>
        <v>Thing 10</v>
      </c>
      <c r="C86" s="301" t="s">
        <v>152</v>
      </c>
      <c r="D86" s="301"/>
      <c r="E86" s="300" t="s">
        <v>153</v>
      </c>
    </row>
    <row r="87" spans="1:20">
      <c r="A87" s="44">
        <f>A80+1</f>
        <v>10</v>
      </c>
      <c r="C87" s="26" t="s">
        <v>109</v>
      </c>
      <c r="D87" s="26" t="s">
        <v>110</v>
      </c>
      <c r="E87" s="300"/>
      <c r="F87" s="34" t="s">
        <v>136</v>
      </c>
      <c r="K87" s="34" t="s">
        <v>137</v>
      </c>
      <c r="P87" s="34" t="s">
        <v>150</v>
      </c>
    </row>
    <row r="88" spans="1:20">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c r="A89" s="44" t="str">
        <f>IF('CSs and Loads'!A314=1,"yes","no")</f>
        <v>no</v>
      </c>
      <c r="B89" s="70" t="s">
        <v>84</v>
      </c>
      <c r="C89" s="71">
        <f>((G89+H89+I89+J89)+SQRT(G89^2+H89^2+I89^2+J89^2))/2</f>
        <v>5.0010000999114543E-3</v>
      </c>
      <c r="D89" s="48">
        <f>L89+M89+N89+O89</f>
        <v>0</v>
      </c>
      <c r="E89" s="48">
        <f>Q89+R89+S89+T89</f>
        <v>3.0281043428522311E-9</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0</v>
      </c>
      <c r="R89" s="49">
        <f>'CSs and Loads'!Z319</f>
        <v>0</v>
      </c>
      <c r="S89" s="49">
        <f>'CSs and Loads'!AA319</f>
        <v>0</v>
      </c>
      <c r="T89" s="49">
        <f>'CSs and Loads'!AB319</f>
        <v>3.0281043428522311E-9</v>
      </c>
    </row>
    <row r="90" spans="1:20">
      <c r="A90" s="44">
        <f>'CSs and Loads'!A314</f>
        <v>0</v>
      </c>
      <c r="B90" s="70" t="s">
        <v>112</v>
      </c>
      <c r="C90" s="71">
        <f t="shared" ref="C90:C91" si="28">((G90+H90+I90+J90)+SQRT(G90^2+H90^2+I90^2+J90^2))/2</f>
        <v>6.1925821750021563E-3</v>
      </c>
      <c r="D90" s="48">
        <f t="shared" ref="D90:D91" si="29">L90+M90+N90+O90</f>
        <v>0</v>
      </c>
      <c r="E90" s="48">
        <f t="shared" ref="E90:E91" si="30">Q90+R90+S90+T90</f>
        <v>-4.4696084534586728E-5</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-3.8639876352395674E-5</v>
      </c>
      <c r="R90" s="49">
        <f>'CSs and Loads'!Z320</f>
        <v>0</v>
      </c>
      <c r="S90" s="49">
        <f>'CSs and Loads'!AA320</f>
        <v>0</v>
      </c>
      <c r="T90" s="49">
        <f>'CSs and Loads'!AB320</f>
        <v>-6.0562081821910533E-6</v>
      </c>
    </row>
    <row r="91" spans="1:20" s="52" customFormat="1" ht="16" thickBot="1">
      <c r="B91" s="72" t="s">
        <v>113</v>
      </c>
      <c r="C91" s="73">
        <f t="shared" si="28"/>
        <v>6.1925821612882521E-3</v>
      </c>
      <c r="D91" s="74">
        <f t="shared" si="29"/>
        <v>0</v>
      </c>
      <c r="E91" s="74">
        <f t="shared" si="30"/>
        <v>0</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4">
    <mergeCell ref="A1:G1"/>
    <mergeCell ref="A2:G2"/>
    <mergeCell ref="A3:G3"/>
    <mergeCell ref="G13:G14"/>
    <mergeCell ref="A6:B6"/>
    <mergeCell ref="A7:B7"/>
    <mergeCell ref="A12:A19"/>
    <mergeCell ref="B12:G12"/>
    <mergeCell ref="C13:F13"/>
    <mergeCell ref="E5:G5"/>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M8:O8"/>
    <mergeCell ref="I3:O6"/>
    <mergeCell ref="N11:O14"/>
    <mergeCell ref="E51:E52"/>
    <mergeCell ref="C23:D23"/>
    <mergeCell ref="E23:E24"/>
    <mergeCell ref="C30:D30"/>
    <mergeCell ref="E30:E31"/>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22.1640625" style="81" customWidth="1"/>
    <col min="3" max="3" width="47.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Loads'!A210</f>
        <v>CS 7</v>
      </c>
      <c r="B1" s="207" t="str">
        <f>'CSs and Loads'!A220</f>
        <v>Bed &amp; Frame</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82" t="s">
        <v>321</v>
      </c>
      <c r="B4" s="177" t="s">
        <v>354</v>
      </c>
      <c r="C4" s="82" t="s">
        <v>376</v>
      </c>
      <c r="D4" s="169"/>
      <c r="E4" s="335" t="s">
        <v>357</v>
      </c>
      <c r="F4" s="336"/>
      <c r="G4" s="336"/>
      <c r="H4" s="336"/>
      <c r="I4" s="336"/>
      <c r="J4" s="336"/>
      <c r="K4" s="336"/>
      <c r="L4" s="336"/>
      <c r="M4" s="337"/>
      <c r="N4" s="206"/>
    </row>
    <row r="5" spans="1:18">
      <c r="A5" s="114" t="s">
        <v>341</v>
      </c>
      <c r="B5" s="118" t="s">
        <v>342</v>
      </c>
      <c r="C5" s="102" t="s">
        <v>374</v>
      </c>
      <c r="D5" s="169">
        <v>25</v>
      </c>
      <c r="E5" s="182" t="s">
        <v>282</v>
      </c>
      <c r="F5" s="326" t="s">
        <v>285</v>
      </c>
      <c r="G5" s="157">
        <f>(B12/4)/(B16*B7)</f>
        <v>5.7058085130663014E-7</v>
      </c>
      <c r="H5" s="81">
        <v>0</v>
      </c>
      <c r="I5" s="81">
        <v>0</v>
      </c>
      <c r="J5" s="81">
        <v>0</v>
      </c>
      <c r="K5" s="81">
        <v>0</v>
      </c>
      <c r="L5" s="158">
        <f>-(B11/(3*B7*B18*B12))*(2*B11^2+B12^2-3*B11*B12)</f>
        <v>-9.5798251454259047E-9</v>
      </c>
      <c r="M5" s="183" t="s">
        <v>276</v>
      </c>
      <c r="N5" s="181"/>
    </row>
    <row r="6" spans="1:18">
      <c r="A6" s="114" t="s">
        <v>344</v>
      </c>
      <c r="B6" s="118" t="s">
        <v>286</v>
      </c>
      <c r="C6" s="102" t="s">
        <v>32</v>
      </c>
      <c r="D6" s="169">
        <f>1770*9.8</f>
        <v>17346</v>
      </c>
      <c r="E6" s="182" t="s">
        <v>283</v>
      </c>
      <c r="F6" s="326"/>
      <c r="G6" s="81">
        <v>0</v>
      </c>
      <c r="H6" s="158">
        <f>(B14/4)/(B16*B7)</f>
        <v>5.7058085130663014E-7</v>
      </c>
      <c r="I6" s="81">
        <v>0</v>
      </c>
      <c r="J6" s="81">
        <v>0</v>
      </c>
      <c r="K6" s="153">
        <v>0</v>
      </c>
      <c r="L6" s="81">
        <v>0</v>
      </c>
      <c r="M6" s="183" t="s">
        <v>277</v>
      </c>
      <c r="N6" s="181"/>
    </row>
    <row r="7" spans="1:18">
      <c r="A7" s="102" t="s">
        <v>291</v>
      </c>
      <c r="B7" s="82">
        <f>69000</f>
        <v>69000</v>
      </c>
      <c r="C7" s="102" t="s">
        <v>243</v>
      </c>
      <c r="D7" s="169">
        <f>647*1000</f>
        <v>647000</v>
      </c>
      <c r="E7" s="182" t="s">
        <v>284</v>
      </c>
      <c r="F7" s="326"/>
      <c r="G7" s="81">
        <v>0</v>
      </c>
      <c r="H7" s="81">
        <v>0</v>
      </c>
      <c r="I7" s="158">
        <f>(B11^2/(3*B7*B18*B12))*(B12^2-2*B11*B12+B11^2)</f>
        <v>1.0378143907544729E-6</v>
      </c>
      <c r="J7" s="202">
        <f>I8</f>
        <v>3.1284971832062308E-8</v>
      </c>
      <c r="K7" s="98"/>
      <c r="L7" s="81">
        <v>0</v>
      </c>
      <c r="M7" s="183" t="s">
        <v>278</v>
      </c>
      <c r="N7" s="181"/>
    </row>
    <row r="8" spans="1:18">
      <c r="A8" s="102" t="s">
        <v>287</v>
      </c>
      <c r="B8" s="82">
        <v>0.33400000000000002</v>
      </c>
      <c r="C8" s="102" t="s">
        <v>33</v>
      </c>
      <c r="D8" s="169">
        <v>3</v>
      </c>
      <c r="E8" s="182" t="s">
        <v>273</v>
      </c>
      <c r="F8" s="326"/>
      <c r="G8" s="81">
        <v>0</v>
      </c>
      <c r="H8" s="81">
        <v>0</v>
      </c>
      <c r="I8" s="202">
        <f>(B11/(B7*B17*B12))*(2*B11^2-3*B11*B12+B12^2)</f>
        <v>3.1284971832062308E-8</v>
      </c>
      <c r="J8" s="158">
        <f>(1/(3*B7*B17*B12))*(2*B12^2+3*B11^2-3*B11*B12)</f>
        <v>2.3597425334867504E-10</v>
      </c>
      <c r="K8" s="81">
        <v>0</v>
      </c>
      <c r="L8" s="81">
        <v>0</v>
      </c>
      <c r="M8" s="183" t="s">
        <v>279</v>
      </c>
      <c r="N8" s="181"/>
    </row>
    <row r="9" spans="1:18">
      <c r="A9" s="102" t="s">
        <v>292</v>
      </c>
      <c r="B9" s="97">
        <f>B7/(2*(1+B8))</f>
        <v>25862.068965517239</v>
      </c>
      <c r="C9" s="102" t="s">
        <v>34</v>
      </c>
      <c r="D9" s="169">
        <v>0.01</v>
      </c>
      <c r="E9" s="182" t="s">
        <v>275</v>
      </c>
      <c r="F9" s="326"/>
      <c r="G9" s="81">
        <v>0</v>
      </c>
      <c r="H9" s="81">
        <v>0</v>
      </c>
      <c r="I9" s="81">
        <v>0</v>
      </c>
      <c r="J9" s="81">
        <v>0</v>
      </c>
      <c r="K9" s="158">
        <f>(1/(3*B7*B18*B12))*(2*B12^2+3*B11^2-3*B11*B12)</f>
        <v>2.167742484830349E-10</v>
      </c>
      <c r="L9" s="81">
        <v>0</v>
      </c>
      <c r="M9" s="183" t="s">
        <v>280</v>
      </c>
      <c r="N9" s="181"/>
    </row>
    <row r="10" spans="1:18" ht="16" thickBot="1">
      <c r="A10" s="81" t="s">
        <v>346</v>
      </c>
      <c r="B10" s="82"/>
      <c r="C10" s="102" t="s">
        <v>288</v>
      </c>
      <c r="D10" s="239">
        <f>D6/(D8*D9)</f>
        <v>578200</v>
      </c>
      <c r="E10" s="184" t="s">
        <v>274</v>
      </c>
      <c r="F10" s="359"/>
      <c r="G10" s="203">
        <f>L5</f>
        <v>-9.5798251454259047E-9</v>
      </c>
      <c r="H10" s="166">
        <v>0</v>
      </c>
      <c r="I10" s="166">
        <v>0</v>
      </c>
      <c r="J10" s="166">
        <v>0</v>
      </c>
      <c r="K10" s="166">
        <v>0</v>
      </c>
      <c r="L10" s="201">
        <v>0</v>
      </c>
      <c r="M10" s="187" t="s">
        <v>281</v>
      </c>
      <c r="N10" s="181"/>
    </row>
    <row r="11" spans="1:18">
      <c r="A11" s="149" t="s">
        <v>351</v>
      </c>
      <c r="B11" s="83">
        <f>'CS_5 Bridge'!B11</f>
        <v>100</v>
      </c>
      <c r="C11" s="102" t="s">
        <v>35</v>
      </c>
      <c r="D11" s="82">
        <v>25</v>
      </c>
      <c r="E11" s="162"/>
      <c r="F11" s="162"/>
      <c r="G11" s="163"/>
      <c r="H11" s="163"/>
      <c r="I11" s="163"/>
      <c r="J11" s="163"/>
      <c r="K11" s="163"/>
      <c r="L11" s="164"/>
      <c r="M11" s="163"/>
    </row>
    <row r="12" spans="1:18">
      <c r="A12" s="102" t="s">
        <v>234</v>
      </c>
      <c r="B12" s="82">
        <f>B14</f>
        <v>1400</v>
      </c>
      <c r="C12" s="102" t="s">
        <v>386</v>
      </c>
      <c r="D12" s="101">
        <f>D7*D11^2/4</f>
        <v>101093750</v>
      </c>
      <c r="E12" s="82"/>
      <c r="F12" s="82"/>
      <c r="L12" s="149"/>
    </row>
    <row r="13" spans="1:18">
      <c r="A13" s="102" t="s">
        <v>365</v>
      </c>
      <c r="B13" s="82">
        <f>6*25.4</f>
        <v>152.39999999999998</v>
      </c>
      <c r="C13" s="102" t="s">
        <v>289</v>
      </c>
      <c r="D13" s="101">
        <f>D7*D11^2/12</f>
        <v>33697916.666666664</v>
      </c>
      <c r="E13" s="82"/>
      <c r="F13" s="82"/>
      <c r="L13" s="149"/>
    </row>
    <row r="14" spans="1:18">
      <c r="A14" s="102" t="s">
        <v>363</v>
      </c>
      <c r="B14" s="82">
        <v>1400</v>
      </c>
      <c r="C14" s="102" t="s">
        <v>290</v>
      </c>
      <c r="D14" s="97">
        <f>D13</f>
        <v>33697916.666666664</v>
      </c>
      <c r="E14" s="82"/>
      <c r="F14" s="82"/>
      <c r="L14" s="149"/>
    </row>
    <row r="15" spans="1:18">
      <c r="A15" s="102" t="s">
        <v>271</v>
      </c>
      <c r="B15" s="82">
        <f>0.125*25.4</f>
        <v>3.1749999999999998</v>
      </c>
      <c r="C15" s="114" t="s">
        <v>375</v>
      </c>
      <c r="D15" s="82"/>
      <c r="E15" s="82"/>
      <c r="F15" s="82"/>
      <c r="L15" s="149"/>
    </row>
    <row r="16" spans="1:18">
      <c r="A16" s="102" t="s">
        <v>272</v>
      </c>
      <c r="B16" s="97">
        <f>2*B15*B14</f>
        <v>8890</v>
      </c>
      <c r="C16" s="115" t="s">
        <v>267</v>
      </c>
      <c r="D16" s="82"/>
      <c r="E16" s="82"/>
      <c r="F16" s="82"/>
      <c r="L16" s="149"/>
    </row>
    <row r="17" spans="1:19">
      <c r="A17" s="260" t="s">
        <v>400</v>
      </c>
      <c r="B17" s="98">
        <f>2*(B15*B14)*(B13/2)^2</f>
        <v>51619251.599999987</v>
      </c>
      <c r="C17" s="116" t="s">
        <v>269</v>
      </c>
      <c r="D17" s="82">
        <v>18</v>
      </c>
      <c r="E17" s="82"/>
      <c r="F17" s="82"/>
      <c r="L17" s="149"/>
    </row>
    <row r="18" spans="1:19">
      <c r="A18" s="260" t="s">
        <v>401</v>
      </c>
      <c r="B18" s="98">
        <f>2*(B15*(10*B13))*(B13/2)^2</f>
        <v>56191242.455999978</v>
      </c>
      <c r="C18" s="116" t="s">
        <v>234</v>
      </c>
      <c r="D18" s="82">
        <v>2500</v>
      </c>
      <c r="E18" s="82"/>
      <c r="F18" s="82"/>
      <c r="L18" s="149"/>
    </row>
    <row r="19" spans="1:19">
      <c r="A19" s="102" t="s">
        <v>236</v>
      </c>
      <c r="B19" s="98">
        <f>2*B15*B15*(B13-B15)^2*(B14-B15)^2/(B13*B15+B14*B15-2*B15^2)</f>
        <v>178450333.5087992</v>
      </c>
      <c r="C19" s="102" t="s">
        <v>54</v>
      </c>
      <c r="D19" s="117">
        <v>200000</v>
      </c>
      <c r="E19" s="82"/>
      <c r="F19" s="82"/>
      <c r="L19" s="149"/>
    </row>
    <row r="20" spans="1:19">
      <c r="A20" s="102" t="s">
        <v>339</v>
      </c>
      <c r="B20" s="97">
        <f>B18/B16</f>
        <v>6320.7246857142836</v>
      </c>
      <c r="C20" s="116" t="s">
        <v>268</v>
      </c>
      <c r="D20" s="98">
        <f>PI()*D17^2/4*D19/D18</f>
        <v>20357.520395261861</v>
      </c>
      <c r="E20" s="82"/>
      <c r="F20" s="82"/>
      <c r="L20" s="149"/>
    </row>
    <row r="21" spans="1:19" ht="16" thickBot="1">
      <c r="A21" s="241" t="s">
        <v>314</v>
      </c>
      <c r="B21" s="247">
        <f>3*B7*B18/B12^3</f>
        <v>4238.9166138454793</v>
      </c>
      <c r="C21" s="241" t="s">
        <v>320</v>
      </c>
      <c r="D21" s="231">
        <v>3</v>
      </c>
      <c r="E21" s="231"/>
      <c r="F21" s="231"/>
      <c r="G21" s="176"/>
      <c r="H21" s="176"/>
      <c r="I21" s="176"/>
      <c r="J21" s="176"/>
      <c r="K21" s="176"/>
      <c r="L21" s="253"/>
      <c r="M21" s="176"/>
    </row>
    <row r="22" spans="1:19" ht="15" customHeight="1" thickBot="1">
      <c r="A22" s="366" t="s">
        <v>367</v>
      </c>
      <c r="B22" s="367"/>
      <c r="C22" s="367"/>
      <c r="D22" s="367"/>
      <c r="E22" s="367"/>
      <c r="F22" s="367"/>
      <c r="G22" s="367"/>
      <c r="H22" s="367"/>
      <c r="I22" s="367"/>
      <c r="J22" s="367"/>
      <c r="K22" s="367"/>
      <c r="L22" s="367"/>
      <c r="M22" s="368"/>
      <c r="N22" s="252"/>
    </row>
    <row r="23" spans="1:19" ht="30">
      <c r="A23" s="274" t="s">
        <v>381</v>
      </c>
      <c r="B23" s="234"/>
      <c r="C23" s="242" t="s">
        <v>265</v>
      </c>
      <c r="D23" s="163"/>
      <c r="E23" s="163"/>
      <c r="F23" s="163"/>
      <c r="G23" s="163"/>
      <c r="H23" s="163"/>
      <c r="I23" s="163"/>
      <c r="J23" s="163"/>
      <c r="K23" s="163"/>
      <c r="L23" s="163"/>
      <c r="M23" s="163"/>
      <c r="O23" s="211"/>
      <c r="P23" s="211"/>
      <c r="Q23" s="211"/>
      <c r="R23" s="211"/>
    </row>
    <row r="24" spans="1:19">
      <c r="A24" s="102" t="s">
        <v>3</v>
      </c>
      <c r="B24" s="107"/>
      <c r="C24" s="154"/>
      <c r="O24" s="211"/>
      <c r="P24" s="211"/>
      <c r="Q24" s="211"/>
      <c r="R24" s="211"/>
    </row>
    <row r="25" spans="1:19">
      <c r="A25" s="219" t="s">
        <v>117</v>
      </c>
      <c r="B25" s="152">
        <f>SUM(H34:S34)+C25</f>
        <v>400000000</v>
      </c>
      <c r="C25" s="220">
        <v>0</v>
      </c>
      <c r="G25" s="244" t="s">
        <v>185</v>
      </c>
      <c r="O25" s="211"/>
      <c r="P25" s="211"/>
      <c r="Q25" s="211"/>
      <c r="R25" s="211"/>
    </row>
    <row r="26" spans="1:19">
      <c r="A26" s="219" t="s">
        <v>118</v>
      </c>
      <c r="B26" s="152">
        <f>SUM(H35:S35)+C26</f>
        <v>400000000</v>
      </c>
      <c r="C26" s="220">
        <v>0</v>
      </c>
      <c r="G26" s="82" t="s">
        <v>124</v>
      </c>
      <c r="O26" s="211"/>
      <c r="P26" s="211"/>
      <c r="Q26" s="211"/>
      <c r="R26" s="211"/>
    </row>
    <row r="27" spans="1:19">
      <c r="A27" s="219" t="s">
        <v>119</v>
      </c>
      <c r="B27" s="152">
        <f>SUM(H36:S36)+C27</f>
        <v>400000000</v>
      </c>
      <c r="C27" s="220">
        <v>0</v>
      </c>
      <c r="D27" s="87"/>
      <c r="E27" s="87"/>
      <c r="F27" s="87"/>
      <c r="G27" s="214" t="s">
        <v>133</v>
      </c>
      <c r="H27" s="215">
        <v>4</v>
      </c>
      <c r="O27" s="211"/>
      <c r="P27" s="211"/>
      <c r="Q27" s="211"/>
      <c r="R27" s="211"/>
    </row>
    <row r="28" spans="1:19">
      <c r="A28" s="102" t="s">
        <v>115</v>
      </c>
      <c r="B28" s="107"/>
      <c r="C28" s="200"/>
      <c r="D28" s="87"/>
      <c r="E28" s="87"/>
      <c r="F28" s="87"/>
      <c r="H28" s="347" t="s">
        <v>129</v>
      </c>
      <c r="I28" s="347"/>
      <c r="J28" s="347"/>
      <c r="K28" s="347"/>
      <c r="L28" s="347"/>
      <c r="M28" s="347"/>
      <c r="N28" s="347"/>
      <c r="O28" s="347"/>
      <c r="P28" s="347"/>
      <c r="Q28" s="347"/>
      <c r="R28" s="347"/>
      <c r="S28" s="347"/>
    </row>
    <row r="29" spans="1:19">
      <c r="A29" s="219" t="s">
        <v>8</v>
      </c>
      <c r="B29" s="152">
        <f>SUM(H38:S38)+SUM(H42:S42)+C29</f>
        <v>4000404375000</v>
      </c>
      <c r="C29" s="220">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c r="A30" s="219" t="s">
        <v>120</v>
      </c>
      <c r="B30" s="152">
        <f>SUM(H39:S39)+SUM(H43:S43)+C30</f>
        <v>4000134791666.6665</v>
      </c>
      <c r="C30" s="220">
        <v>0</v>
      </c>
      <c r="D30" s="87"/>
      <c r="E30" s="87"/>
      <c r="F30" s="87"/>
      <c r="G30" s="102" t="s">
        <v>42</v>
      </c>
      <c r="H30" s="215">
        <v>100</v>
      </c>
      <c r="I30" s="215">
        <v>-100</v>
      </c>
      <c r="J30" s="215">
        <v>-100</v>
      </c>
      <c r="K30" s="215">
        <v>100</v>
      </c>
      <c r="L30" s="215">
        <v>0</v>
      </c>
      <c r="M30" s="215">
        <v>0</v>
      </c>
      <c r="N30" s="215">
        <v>0</v>
      </c>
      <c r="O30" s="215">
        <v>0</v>
      </c>
      <c r="P30" s="215">
        <v>0</v>
      </c>
      <c r="Q30" s="215">
        <v>0</v>
      </c>
      <c r="R30" s="215">
        <v>0</v>
      </c>
      <c r="S30" s="215">
        <v>0</v>
      </c>
    </row>
    <row r="31" spans="1:19">
      <c r="A31" s="219" t="s">
        <v>116</v>
      </c>
      <c r="B31" s="152">
        <f>SUM(H40:S40)+SUM(H44:S44)+C31</f>
        <v>8000134791666.667</v>
      </c>
      <c r="C31" s="220">
        <v>0</v>
      </c>
      <c r="D31" s="87"/>
      <c r="E31" s="87"/>
      <c r="F31" s="87"/>
      <c r="G31" s="102" t="s">
        <v>43</v>
      </c>
      <c r="H31" s="215">
        <v>100</v>
      </c>
      <c r="I31" s="215">
        <v>100</v>
      </c>
      <c r="J31" s="215">
        <v>-100</v>
      </c>
      <c r="K31" s="215">
        <v>-100</v>
      </c>
      <c r="L31" s="215">
        <v>0</v>
      </c>
      <c r="M31" s="215">
        <v>0</v>
      </c>
      <c r="N31" s="215">
        <v>0</v>
      </c>
      <c r="O31" s="215">
        <v>0</v>
      </c>
      <c r="P31" s="215">
        <v>0</v>
      </c>
      <c r="Q31" s="215">
        <v>0</v>
      </c>
      <c r="R31" s="215">
        <v>0</v>
      </c>
      <c r="S31" s="215">
        <v>0</v>
      </c>
    </row>
    <row r="32" spans="1:19">
      <c r="A32" s="348" t="s">
        <v>190</v>
      </c>
      <c r="B32" s="348"/>
      <c r="C32" s="348"/>
      <c r="D32" s="87"/>
      <c r="E32" s="87"/>
      <c r="F32" s="87"/>
      <c r="G32" s="102" t="s">
        <v>44</v>
      </c>
      <c r="H32" s="215">
        <v>0</v>
      </c>
      <c r="I32" s="215">
        <v>0</v>
      </c>
      <c r="J32" s="215">
        <v>0</v>
      </c>
      <c r="K32" s="215">
        <v>0</v>
      </c>
      <c r="L32" s="215">
        <v>0</v>
      </c>
      <c r="M32" s="215">
        <v>0</v>
      </c>
      <c r="N32" s="215">
        <v>0</v>
      </c>
      <c r="O32" s="215">
        <v>0</v>
      </c>
      <c r="P32" s="215">
        <v>0</v>
      </c>
      <c r="Q32" s="215">
        <v>0</v>
      </c>
      <c r="R32" s="215">
        <v>0</v>
      </c>
      <c r="S32" s="215">
        <v>0</v>
      </c>
    </row>
    <row r="33" spans="1:19">
      <c r="A33" s="348"/>
      <c r="B33" s="348"/>
      <c r="C33" s="348"/>
      <c r="G33" s="82" t="s">
        <v>130</v>
      </c>
      <c r="H33" s="349"/>
      <c r="I33" s="349"/>
      <c r="J33" s="349"/>
      <c r="K33" s="349"/>
    </row>
    <row r="34" spans="1:19">
      <c r="A34" s="348"/>
      <c r="B34" s="348"/>
      <c r="C34" s="348"/>
      <c r="D34" s="87"/>
      <c r="E34" s="87"/>
      <c r="F34" s="87"/>
      <c r="G34" s="102" t="s">
        <v>117</v>
      </c>
      <c r="H34" s="273">
        <v>100000000</v>
      </c>
      <c r="I34" s="273">
        <v>100000000</v>
      </c>
      <c r="J34" s="273">
        <v>100000000</v>
      </c>
      <c r="K34" s="273">
        <v>100000000</v>
      </c>
      <c r="L34" s="215">
        <v>0</v>
      </c>
      <c r="M34" s="215">
        <v>0</v>
      </c>
      <c r="N34" s="215">
        <v>0</v>
      </c>
      <c r="O34" s="215">
        <v>0</v>
      </c>
      <c r="P34" s="215">
        <v>0</v>
      </c>
      <c r="Q34" s="215">
        <v>0</v>
      </c>
      <c r="R34" s="215">
        <v>0</v>
      </c>
      <c r="S34" s="215">
        <v>0</v>
      </c>
    </row>
    <row r="35" spans="1:19">
      <c r="A35" s="222" t="s">
        <v>186</v>
      </c>
      <c r="B35" s="215"/>
      <c r="C35" s="215"/>
      <c r="D35" s="87"/>
      <c r="E35" s="87"/>
      <c r="F35" s="87"/>
      <c r="G35" s="102" t="s">
        <v>118</v>
      </c>
      <c r="H35" s="273">
        <v>100000000</v>
      </c>
      <c r="I35" s="273">
        <v>100000000</v>
      </c>
      <c r="J35" s="273">
        <v>100000000</v>
      </c>
      <c r="K35" s="273">
        <v>100000000</v>
      </c>
      <c r="L35" s="215">
        <v>0</v>
      </c>
      <c r="M35" s="215">
        <v>0</v>
      </c>
      <c r="N35" s="215">
        <v>0</v>
      </c>
      <c r="O35" s="215">
        <v>0</v>
      </c>
      <c r="P35" s="215">
        <v>0</v>
      </c>
      <c r="Q35" s="215">
        <v>0</v>
      </c>
      <c r="R35" s="215">
        <v>0</v>
      </c>
      <c r="S35" s="215">
        <v>0</v>
      </c>
    </row>
    <row r="36" spans="1:19">
      <c r="A36" s="81" t="s">
        <v>109</v>
      </c>
      <c r="D36" s="87"/>
      <c r="E36" s="87"/>
      <c r="F36" s="87"/>
      <c r="G36" s="102" t="s">
        <v>119</v>
      </c>
      <c r="H36" s="273">
        <v>100000000</v>
      </c>
      <c r="I36" s="273">
        <v>100000000</v>
      </c>
      <c r="J36" s="273">
        <v>100000000</v>
      </c>
      <c r="K36" s="273">
        <v>100000000</v>
      </c>
      <c r="L36" s="215">
        <v>0</v>
      </c>
      <c r="M36" s="215">
        <v>0</v>
      </c>
      <c r="N36" s="215">
        <v>0</v>
      </c>
      <c r="O36" s="215">
        <v>0</v>
      </c>
      <c r="P36" s="215">
        <v>0</v>
      </c>
      <c r="Q36" s="215">
        <v>0</v>
      </c>
      <c r="R36" s="215">
        <v>0</v>
      </c>
      <c r="S36" s="215">
        <v>0</v>
      </c>
    </row>
    <row r="37" spans="1:19">
      <c r="A37" s="102" t="s">
        <v>187</v>
      </c>
      <c r="B37" s="215">
        <v>0</v>
      </c>
      <c r="D37" s="87"/>
      <c r="E37" s="87"/>
      <c r="F37" s="87"/>
      <c r="G37" s="82" t="s">
        <v>131</v>
      </c>
      <c r="H37" s="349"/>
      <c r="I37" s="349"/>
      <c r="J37" s="349"/>
      <c r="K37" s="349"/>
    </row>
    <row r="38" spans="1:19">
      <c r="A38" s="102" t="s">
        <v>188</v>
      </c>
      <c r="B38" s="215">
        <v>0</v>
      </c>
      <c r="D38" s="87"/>
      <c r="E38" s="87"/>
      <c r="F38" s="87"/>
      <c r="G38" s="102" t="s">
        <v>8</v>
      </c>
      <c r="H38" s="142">
        <f>D12</f>
        <v>101093750</v>
      </c>
      <c r="I38" s="142">
        <f>H38</f>
        <v>101093750</v>
      </c>
      <c r="J38" s="142">
        <f t="shared" ref="J38:K38" si="1">I38</f>
        <v>101093750</v>
      </c>
      <c r="K38" s="142">
        <f t="shared" si="1"/>
        <v>101093750</v>
      </c>
      <c r="L38" s="215">
        <v>0</v>
      </c>
      <c r="M38" s="215">
        <v>0</v>
      </c>
      <c r="N38" s="215">
        <v>0</v>
      </c>
      <c r="O38" s="215">
        <v>0</v>
      </c>
      <c r="P38" s="215">
        <v>0</v>
      </c>
      <c r="Q38" s="215">
        <v>0</v>
      </c>
      <c r="R38" s="215">
        <v>0</v>
      </c>
      <c r="S38" s="215">
        <v>0</v>
      </c>
    </row>
    <row r="39" spans="1:19">
      <c r="A39" s="102" t="s">
        <v>189</v>
      </c>
      <c r="B39" s="215">
        <v>0</v>
      </c>
      <c r="D39" s="87"/>
      <c r="E39" s="87"/>
      <c r="F39" s="87"/>
      <c r="G39" s="102" t="s">
        <v>120</v>
      </c>
      <c r="H39" s="142">
        <f>D14</f>
        <v>33697916.666666664</v>
      </c>
      <c r="I39" s="142">
        <f t="shared" ref="I39:K40" si="2">H39</f>
        <v>33697916.666666664</v>
      </c>
      <c r="J39" s="142">
        <f t="shared" si="2"/>
        <v>33697916.666666664</v>
      </c>
      <c r="K39" s="142">
        <f t="shared" si="2"/>
        <v>33697916.666666664</v>
      </c>
      <c r="L39" s="215">
        <v>0</v>
      </c>
      <c r="M39" s="215">
        <v>0</v>
      </c>
      <c r="N39" s="215">
        <v>0</v>
      </c>
      <c r="O39" s="215">
        <v>0</v>
      </c>
      <c r="P39" s="215">
        <v>0</v>
      </c>
      <c r="Q39" s="215">
        <v>0</v>
      </c>
      <c r="R39" s="215">
        <v>0</v>
      </c>
      <c r="S39" s="215">
        <v>0</v>
      </c>
    </row>
    <row r="40" spans="1:19">
      <c r="A40" s="149" t="s">
        <v>110</v>
      </c>
      <c r="G40" s="102" t="s">
        <v>116</v>
      </c>
      <c r="H40" s="142">
        <f>D13</f>
        <v>33697916.666666664</v>
      </c>
      <c r="I40" s="142">
        <f t="shared" si="2"/>
        <v>33697916.666666664</v>
      </c>
      <c r="J40" s="142">
        <f t="shared" si="2"/>
        <v>33697916.666666664</v>
      </c>
      <c r="K40" s="142">
        <f t="shared" si="2"/>
        <v>33697916.666666664</v>
      </c>
      <c r="L40" s="215">
        <v>0</v>
      </c>
      <c r="M40" s="215">
        <v>0</v>
      </c>
      <c r="N40" s="215">
        <v>0</v>
      </c>
      <c r="O40" s="215">
        <v>0</v>
      </c>
      <c r="P40" s="215">
        <v>0</v>
      </c>
      <c r="Q40" s="215">
        <v>0</v>
      </c>
      <c r="R40" s="215">
        <v>0</v>
      </c>
      <c r="S40" s="215">
        <v>0</v>
      </c>
    </row>
    <row r="41" spans="1:19">
      <c r="A41" s="102" t="s">
        <v>187</v>
      </c>
      <c r="B41" s="215">
        <v>0</v>
      </c>
      <c r="D41" s="218"/>
      <c r="E41" s="218"/>
      <c r="F41" s="218"/>
      <c r="G41" s="82" t="s">
        <v>125</v>
      </c>
    </row>
    <row r="42" spans="1:19">
      <c r="A42" s="102" t="s">
        <v>188</v>
      </c>
      <c r="B42" s="215">
        <v>0</v>
      </c>
      <c r="D42" s="154"/>
      <c r="E42" s="154"/>
      <c r="F42" s="154"/>
      <c r="G42" s="102" t="s">
        <v>8</v>
      </c>
      <c r="H42" s="152">
        <f>H35*H32^2+H36*H31^2</f>
        <v>1000000000000</v>
      </c>
      <c r="I42" s="152">
        <f t="shared" ref="I42:S42" si="3">I35*I32^2+I36*I31^2</f>
        <v>1000000000000</v>
      </c>
      <c r="J42" s="152">
        <f t="shared" si="3"/>
        <v>1000000000000</v>
      </c>
      <c r="K42" s="152">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c r="A43" s="102" t="s">
        <v>189</v>
      </c>
      <c r="B43" s="215">
        <v>0</v>
      </c>
      <c r="D43" s="220"/>
      <c r="E43" s="220"/>
      <c r="F43" s="220"/>
      <c r="G43" s="102" t="s">
        <v>120</v>
      </c>
      <c r="H43" s="152">
        <f>H34*H32^2+H36*H30^2</f>
        <v>1000000000000</v>
      </c>
      <c r="I43" s="152">
        <f t="shared" ref="I43:S43" si="4">I34*I32^2+I36*I30^2</f>
        <v>1000000000000</v>
      </c>
      <c r="J43" s="152">
        <f t="shared" si="4"/>
        <v>1000000000000</v>
      </c>
      <c r="K43" s="152">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c r="A44" s="216" t="s">
        <v>207</v>
      </c>
      <c r="C44" s="87"/>
      <c r="D44" s="220"/>
      <c r="E44" s="220"/>
      <c r="F44" s="220"/>
      <c r="G44" s="102" t="s">
        <v>116</v>
      </c>
      <c r="H44" s="152">
        <f>H34*H31^2+H35*H30^2</f>
        <v>2000000000000</v>
      </c>
      <c r="I44" s="152">
        <f t="shared" ref="I44:S44" si="5">I34*I31^2+I35*I30^2</f>
        <v>2000000000000</v>
      </c>
      <c r="J44" s="152">
        <f t="shared" si="5"/>
        <v>2000000000000</v>
      </c>
      <c r="K44" s="152">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c r="A45" s="102" t="s">
        <v>121</v>
      </c>
      <c r="B45" s="105">
        <f>SQRT((H46^2+I46^2+J46^2+K46^2+L46^2+M46^2+N46^2+O46^2+P46^2+Q46^2+R46^2+S46^2)/H$27)</f>
        <v>5.0000000000000001E-3</v>
      </c>
      <c r="C45" s="87"/>
      <c r="D45" s="220"/>
      <c r="E45" s="220"/>
      <c r="F45" s="220"/>
      <c r="G45" s="82" t="s">
        <v>307</v>
      </c>
    </row>
    <row r="46" spans="1:19">
      <c r="A46" s="102" t="s">
        <v>122</v>
      </c>
      <c r="B46" s="105">
        <f>SQRT((H47^2+I47^2+J47^2+K47^2+L47^2+M47^2+N47^2+O47^2+P47^2+Q47^2+R47^2+S47^2)/H$27)</f>
        <v>5.0000000000000001E-3</v>
      </c>
      <c r="C46" s="87"/>
      <c r="D46" s="200"/>
      <c r="E46" s="200"/>
      <c r="F46" s="200"/>
      <c r="G46" s="102" t="s">
        <v>121</v>
      </c>
      <c r="H46" s="215">
        <f t="shared" ref="H46:K48" si="6">0.005</f>
        <v>5.0000000000000001E-3</v>
      </c>
      <c r="I46" s="215">
        <f t="shared" si="6"/>
        <v>5.0000000000000001E-3</v>
      </c>
      <c r="J46" s="215">
        <f t="shared" si="6"/>
        <v>5.0000000000000001E-3</v>
      </c>
      <c r="K46" s="215">
        <f t="shared" si="6"/>
        <v>5.0000000000000001E-3</v>
      </c>
      <c r="L46" s="215">
        <v>0</v>
      </c>
      <c r="M46" s="215">
        <v>0</v>
      </c>
      <c r="N46" s="215">
        <v>0</v>
      </c>
      <c r="O46" s="215">
        <v>0</v>
      </c>
      <c r="P46" s="215">
        <v>0</v>
      </c>
      <c r="Q46" s="215">
        <v>0</v>
      </c>
      <c r="R46" s="215">
        <v>0</v>
      </c>
      <c r="S46" s="215">
        <v>0</v>
      </c>
    </row>
    <row r="47" spans="1:19">
      <c r="A47" s="102" t="s">
        <v>123</v>
      </c>
      <c r="B47" s="105">
        <f>SQRT((H48^2+I48^2+J48^2+K48^2+L48^2+M48^2+N48^2+O48^2+P48^2+Q48^2+R48^2+S48^2)/H$27)</f>
        <v>5.0000000000000001E-3</v>
      </c>
      <c r="C47" s="87"/>
      <c r="D47" s="220"/>
      <c r="E47" s="220"/>
      <c r="F47" s="220"/>
      <c r="G47" s="102" t="s">
        <v>122</v>
      </c>
      <c r="H47" s="215">
        <f t="shared" si="6"/>
        <v>5.0000000000000001E-3</v>
      </c>
      <c r="I47" s="215">
        <f t="shared" si="6"/>
        <v>5.0000000000000001E-3</v>
      </c>
      <c r="J47" s="215">
        <f t="shared" si="6"/>
        <v>5.0000000000000001E-3</v>
      </c>
      <c r="K47" s="215">
        <f t="shared" si="6"/>
        <v>5.0000000000000001E-3</v>
      </c>
      <c r="L47" s="215">
        <v>0</v>
      </c>
      <c r="M47" s="215">
        <v>0</v>
      </c>
      <c r="N47" s="215">
        <v>0</v>
      </c>
      <c r="O47" s="215">
        <v>0</v>
      </c>
      <c r="P47" s="215">
        <v>0</v>
      </c>
      <c r="Q47" s="215">
        <v>0</v>
      </c>
      <c r="R47" s="215">
        <v>0</v>
      </c>
      <c r="S47" s="215">
        <v>0</v>
      </c>
    </row>
    <row r="48" spans="1:19">
      <c r="A48" s="102" t="s">
        <v>85</v>
      </c>
      <c r="B48" s="105">
        <f>SQRT((H50^2+I50^2+J50^2+K50^2+L50^2+M50^2+N50^2+O50^2+P50^2+Q50^2+R50^2+S50^2+B37^2)/H$27)</f>
        <v>5.0000000000000009E-5</v>
      </c>
      <c r="C48" s="87"/>
      <c r="D48" s="220"/>
      <c r="E48" s="220"/>
      <c r="F48" s="220"/>
      <c r="G48" s="102" t="s">
        <v>123</v>
      </c>
      <c r="H48" s="215">
        <f t="shared" si="6"/>
        <v>5.0000000000000001E-3</v>
      </c>
      <c r="I48" s="215">
        <f t="shared" si="6"/>
        <v>5.0000000000000001E-3</v>
      </c>
      <c r="J48" s="215">
        <f t="shared" si="6"/>
        <v>5.0000000000000001E-3</v>
      </c>
      <c r="K48" s="215">
        <f t="shared" si="6"/>
        <v>5.0000000000000001E-3</v>
      </c>
      <c r="L48" s="215">
        <v>0</v>
      </c>
      <c r="M48" s="215">
        <v>0</v>
      </c>
      <c r="N48" s="215">
        <v>0</v>
      </c>
      <c r="O48" s="215">
        <v>0</v>
      </c>
      <c r="P48" s="215">
        <v>0</v>
      </c>
      <c r="Q48" s="215">
        <v>0</v>
      </c>
      <c r="R48" s="215">
        <v>0</v>
      </c>
      <c r="S48" s="215">
        <v>0</v>
      </c>
    </row>
    <row r="49" spans="1:20">
      <c r="A49" s="102" t="s">
        <v>86</v>
      </c>
      <c r="B49" s="105">
        <f>SQRT((H51^2+I51^2+J51^2+K51^2+L51^2+M51^2+N51^2+O51^2+P51^2+Q51^2+R51^2+S51^2+B38^2)/H$27)</f>
        <v>5.0000000000000009E-5</v>
      </c>
      <c r="D49" s="220"/>
      <c r="E49" s="220"/>
      <c r="F49" s="220"/>
      <c r="G49" s="82" t="s">
        <v>252</v>
      </c>
    </row>
    <row r="50" spans="1:20">
      <c r="A50" s="102" t="s">
        <v>87</v>
      </c>
      <c r="B50" s="105">
        <f>SQRT((H52^2+I52^2+J52^2+K52^2+L52^2+M52^2+N52^2+O52^2+P52^2+Q52^2+R52^2+S52^2+B39^2)/H$27)</f>
        <v>4.999999975000001E-5</v>
      </c>
      <c r="C50" s="87"/>
      <c r="D50" s="221"/>
      <c r="E50" s="221"/>
      <c r="F50" s="221"/>
      <c r="G50" s="102" t="s">
        <v>85</v>
      </c>
      <c r="H50" s="152">
        <f>H97</f>
        <v>4.9999999500000004E-5</v>
      </c>
      <c r="I50" s="152">
        <f t="shared" ref="I50:S50" si="7">I97</f>
        <v>4.9999999500000004E-5</v>
      </c>
      <c r="J50" s="152">
        <f t="shared" si="7"/>
        <v>5.0000000500000007E-5</v>
      </c>
      <c r="K50" s="152">
        <f t="shared" si="7"/>
        <v>5.0000000500000007E-5</v>
      </c>
      <c r="L50" s="152">
        <f t="shared" si="7"/>
        <v>0</v>
      </c>
      <c r="M50" s="152">
        <f t="shared" si="7"/>
        <v>0</v>
      </c>
      <c r="N50" s="152">
        <f t="shared" si="7"/>
        <v>0</v>
      </c>
      <c r="O50" s="152">
        <f t="shared" si="7"/>
        <v>0</v>
      </c>
      <c r="P50" s="152">
        <f t="shared" si="7"/>
        <v>0</v>
      </c>
      <c r="Q50" s="152">
        <f t="shared" si="7"/>
        <v>0</v>
      </c>
      <c r="R50" s="152">
        <f t="shared" si="7"/>
        <v>0</v>
      </c>
      <c r="S50" s="152">
        <f t="shared" si="7"/>
        <v>0</v>
      </c>
    </row>
    <row r="51" spans="1:20" ht="45">
      <c r="A51" s="217" t="s">
        <v>208</v>
      </c>
      <c r="B51" s="107"/>
      <c r="C51" s="87"/>
      <c r="D51" s="221"/>
      <c r="E51" s="221"/>
      <c r="F51" s="221"/>
      <c r="G51" s="102" t="s">
        <v>86</v>
      </c>
      <c r="H51" s="152">
        <f>H101</f>
        <v>4.9999999500000004E-5</v>
      </c>
      <c r="I51" s="152">
        <f t="shared" ref="I51:S51" si="8">I101</f>
        <v>5.0000000500000007E-5</v>
      </c>
      <c r="J51" s="152">
        <f t="shared" si="8"/>
        <v>5.0000000500000007E-5</v>
      </c>
      <c r="K51" s="152">
        <f t="shared" si="8"/>
        <v>4.9999999500000004E-5</v>
      </c>
      <c r="L51" s="152">
        <f t="shared" si="8"/>
        <v>0</v>
      </c>
      <c r="M51" s="152">
        <f t="shared" si="8"/>
        <v>0</v>
      </c>
      <c r="N51" s="152">
        <f t="shared" si="8"/>
        <v>0</v>
      </c>
      <c r="O51" s="152">
        <f t="shared" si="8"/>
        <v>0</v>
      </c>
      <c r="P51" s="152">
        <f t="shared" si="8"/>
        <v>0</v>
      </c>
      <c r="Q51" s="152">
        <f t="shared" si="8"/>
        <v>0</v>
      </c>
      <c r="R51" s="152">
        <f t="shared" si="8"/>
        <v>0</v>
      </c>
      <c r="S51" s="152">
        <f t="shared" si="8"/>
        <v>0</v>
      </c>
      <c r="T51" s="83"/>
    </row>
    <row r="52" spans="1:20">
      <c r="A52" s="102" t="s">
        <v>121</v>
      </c>
      <c r="B52" s="105">
        <f>SQRT((H54^2+I54^2+J54^2+K54^2+L54^2+M54^2+N54^2+O54^2+P54^2+Q54^2+R54^2+S54^2)/H$27)</f>
        <v>0</v>
      </c>
      <c r="C52" s="87"/>
      <c r="D52" s="221"/>
      <c r="E52" s="221"/>
      <c r="F52" s="221"/>
      <c r="G52" s="102" t="s">
        <v>87</v>
      </c>
      <c r="H52" s="152">
        <f>H105</f>
        <v>4.9999999500000004E-5</v>
      </c>
      <c r="I52" s="152">
        <f t="shared" ref="I52:S52" si="9">I105</f>
        <v>4.9999999500000004E-5</v>
      </c>
      <c r="J52" s="152">
        <f t="shared" si="9"/>
        <v>5.0000000500000007E-5</v>
      </c>
      <c r="K52" s="152">
        <f t="shared" si="9"/>
        <v>4.9999999500000004E-5</v>
      </c>
      <c r="L52" s="152">
        <f t="shared" si="9"/>
        <v>0</v>
      </c>
      <c r="M52" s="152">
        <f t="shared" si="9"/>
        <v>0</v>
      </c>
      <c r="N52" s="152">
        <f t="shared" si="9"/>
        <v>0</v>
      </c>
      <c r="O52" s="152">
        <f t="shared" si="9"/>
        <v>0</v>
      </c>
      <c r="P52" s="152">
        <f t="shared" si="9"/>
        <v>0</v>
      </c>
      <c r="Q52" s="152">
        <f t="shared" si="9"/>
        <v>0</v>
      </c>
      <c r="R52" s="152">
        <f t="shared" si="9"/>
        <v>0</v>
      </c>
      <c r="S52" s="152">
        <f t="shared" si="9"/>
        <v>0</v>
      </c>
    </row>
    <row r="53" spans="1:20">
      <c r="A53" s="102" t="s">
        <v>122</v>
      </c>
      <c r="B53" s="105">
        <f>SQRT((H55^2+I55^2+J55^2+K55^2+L55^2+M55^2+N55^2+O55^2+P55^2+Q55^2+R55^2+S55^2)/H$27)</f>
        <v>0</v>
      </c>
      <c r="C53" s="87"/>
      <c r="D53" s="215"/>
      <c r="E53" s="215"/>
      <c r="F53" s="215"/>
      <c r="G53" s="82" t="s">
        <v>333</v>
      </c>
    </row>
    <row r="54" spans="1:20">
      <c r="A54" s="102" t="s">
        <v>123</v>
      </c>
      <c r="B54" s="105">
        <f>SQRT((H56^2+I56^2+J56^2+K56^2+L56^2+M56^2+N56^2+O56^2+P56^2+Q56^2+R56^2+S56^2)/H$27)</f>
        <v>0</v>
      </c>
      <c r="C54" s="87"/>
      <c r="G54" s="102" t="s">
        <v>121</v>
      </c>
      <c r="H54" s="215">
        <v>0</v>
      </c>
      <c r="I54" s="215">
        <v>0</v>
      </c>
      <c r="J54" s="215">
        <v>0</v>
      </c>
      <c r="K54" s="215">
        <v>0</v>
      </c>
      <c r="L54" s="215">
        <v>0</v>
      </c>
      <c r="M54" s="215">
        <v>0</v>
      </c>
      <c r="N54" s="215">
        <v>0</v>
      </c>
      <c r="O54" s="215">
        <v>0</v>
      </c>
      <c r="P54" s="215">
        <v>0</v>
      </c>
      <c r="Q54" s="215">
        <v>0</v>
      </c>
      <c r="R54" s="215">
        <v>0</v>
      </c>
      <c r="S54" s="215">
        <v>0</v>
      </c>
    </row>
    <row r="55" spans="1:20">
      <c r="A55" s="102" t="s">
        <v>85</v>
      </c>
      <c r="B55" s="105">
        <f>SQRT((H58^2+I58^2+J58^2+K58^2+L58^2+M58^2+N58^2+O58^2+P58^2+Q58^2+R58^2+S58^2+B41^2)/H$27)</f>
        <v>0</v>
      </c>
      <c r="C55" s="87"/>
      <c r="G55" s="102" t="s">
        <v>122</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SQRT((H59^2+I59^2+J59^2+K59^2+L59^2+M59^2+N59^2+O59^2+P59^2+Q59^2+R59^2+S59^2+B42^2)/H$27)</f>
        <v>0</v>
      </c>
      <c r="G56" s="102" t="s">
        <v>123</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SQRT((H60^2+I60^2+J60^2+K60^2+L60^2+M60^2+N60^2+O60^2+P60^2+Q60^2+R60^2+S60^2+B43^2)/H$27)</f>
        <v>0</v>
      </c>
      <c r="G57" s="82" t="s">
        <v>253</v>
      </c>
    </row>
    <row r="58" spans="1:20">
      <c r="G58" s="102" t="s">
        <v>85</v>
      </c>
      <c r="H58" s="223">
        <f>H112</f>
        <v>0</v>
      </c>
      <c r="I58" s="223">
        <f t="shared" ref="I58:S58" si="10">I112</f>
        <v>0</v>
      </c>
      <c r="J58" s="223">
        <f t="shared" si="10"/>
        <v>0</v>
      </c>
      <c r="K58" s="223">
        <f t="shared" si="10"/>
        <v>0</v>
      </c>
      <c r="L58" s="223">
        <f t="shared" si="10"/>
        <v>0</v>
      </c>
      <c r="M58" s="223">
        <f t="shared" si="10"/>
        <v>0</v>
      </c>
      <c r="N58" s="223">
        <f t="shared" si="10"/>
        <v>0</v>
      </c>
      <c r="O58" s="223">
        <f t="shared" si="10"/>
        <v>0</v>
      </c>
      <c r="P58" s="223">
        <f t="shared" si="10"/>
        <v>0</v>
      </c>
      <c r="Q58" s="223">
        <f t="shared" si="10"/>
        <v>0</v>
      </c>
      <c r="R58" s="223">
        <f t="shared" si="10"/>
        <v>0</v>
      </c>
      <c r="S58" s="223">
        <f t="shared" si="10"/>
        <v>0</v>
      </c>
    </row>
    <row r="59" spans="1:20">
      <c r="G59" s="102" t="s">
        <v>86</v>
      </c>
      <c r="H59" s="223">
        <f>H117</f>
        <v>0</v>
      </c>
      <c r="I59" s="223">
        <f t="shared" ref="I59:S59" si="11">I117</f>
        <v>0</v>
      </c>
      <c r="J59" s="223">
        <f t="shared" si="11"/>
        <v>0</v>
      </c>
      <c r="K59" s="223">
        <f t="shared" si="11"/>
        <v>0</v>
      </c>
      <c r="L59" s="223">
        <f t="shared" si="11"/>
        <v>0</v>
      </c>
      <c r="M59" s="223">
        <f t="shared" si="11"/>
        <v>0</v>
      </c>
      <c r="N59" s="223">
        <f t="shared" si="11"/>
        <v>0</v>
      </c>
      <c r="O59" s="223">
        <f t="shared" si="11"/>
        <v>0</v>
      </c>
      <c r="P59" s="223">
        <f t="shared" si="11"/>
        <v>0</v>
      </c>
      <c r="Q59" s="223">
        <f t="shared" si="11"/>
        <v>0</v>
      </c>
      <c r="R59" s="223">
        <f t="shared" si="11"/>
        <v>0</v>
      </c>
      <c r="S59" s="223">
        <f t="shared" si="11"/>
        <v>0</v>
      </c>
    </row>
    <row r="60" spans="1:20">
      <c r="G60" s="102" t="s">
        <v>87</v>
      </c>
      <c r="H60" s="223">
        <f>H122</f>
        <v>0</v>
      </c>
      <c r="I60" s="223">
        <f t="shared" ref="I60:S60" si="12">I122</f>
        <v>0</v>
      </c>
      <c r="J60" s="223">
        <f t="shared" si="12"/>
        <v>0</v>
      </c>
      <c r="K60" s="223">
        <f t="shared" si="12"/>
        <v>0</v>
      </c>
      <c r="L60" s="223">
        <f t="shared" si="12"/>
        <v>0</v>
      </c>
      <c r="M60" s="223">
        <f t="shared" si="12"/>
        <v>0</v>
      </c>
      <c r="N60" s="223">
        <f t="shared" si="12"/>
        <v>0</v>
      </c>
      <c r="O60" s="223">
        <f t="shared" si="12"/>
        <v>0</v>
      </c>
      <c r="P60" s="223">
        <f t="shared" si="12"/>
        <v>0</v>
      </c>
      <c r="Q60" s="223">
        <f t="shared" si="12"/>
        <v>0</v>
      </c>
      <c r="R60" s="223">
        <f t="shared" si="12"/>
        <v>0</v>
      </c>
      <c r="S60" s="223">
        <f t="shared" si="12"/>
        <v>0</v>
      </c>
    </row>
    <row r="61" spans="1:20">
      <c r="G61" s="216"/>
    </row>
    <row r="62" spans="1:20">
      <c r="I62" s="118"/>
      <c r="J62" s="118"/>
      <c r="K62" s="118"/>
      <c r="L62" s="118"/>
      <c r="M62" s="118"/>
      <c r="N62" s="118"/>
    </row>
    <row r="63" spans="1:20">
      <c r="G63" s="119"/>
      <c r="H63" s="326"/>
      <c r="I63" s="147"/>
      <c r="J63" s="147"/>
      <c r="K63" s="147"/>
      <c r="L63" s="147"/>
      <c r="M63" s="147"/>
      <c r="N63" s="147"/>
      <c r="O63" s="118"/>
    </row>
    <row r="64" spans="1:20">
      <c r="G64" s="119"/>
      <c r="H64" s="326"/>
      <c r="I64" s="147"/>
      <c r="J64" s="147"/>
      <c r="K64" s="147"/>
      <c r="L64" s="147"/>
      <c r="M64" s="147"/>
      <c r="N64" s="147"/>
      <c r="O64" s="118"/>
    </row>
    <row r="65" spans="1:15">
      <c r="G65" s="119"/>
      <c r="H65" s="326"/>
      <c r="I65" s="147"/>
      <c r="J65" s="147"/>
      <c r="K65" s="147"/>
      <c r="L65" s="147"/>
      <c r="M65" s="147"/>
      <c r="N65" s="147"/>
      <c r="O65" s="118"/>
    </row>
    <row r="66" spans="1:15">
      <c r="G66" s="119"/>
      <c r="H66" s="326"/>
      <c r="I66" s="147"/>
      <c r="J66" s="147"/>
      <c r="K66" s="147"/>
      <c r="L66" s="147"/>
      <c r="M66" s="147"/>
      <c r="N66" s="147"/>
      <c r="O66" s="118"/>
    </row>
    <row r="67" spans="1:15">
      <c r="G67" s="119"/>
      <c r="H67" s="326"/>
      <c r="I67" s="147"/>
      <c r="J67" s="147"/>
      <c r="K67" s="147"/>
      <c r="L67" s="147"/>
      <c r="M67" s="147"/>
      <c r="N67" s="147"/>
      <c r="O67" s="118"/>
    </row>
    <row r="68" spans="1:15">
      <c r="G68" s="119"/>
      <c r="H68" s="326"/>
      <c r="I68" s="147"/>
      <c r="J68" s="147"/>
      <c r="K68" s="147"/>
      <c r="L68" s="147"/>
      <c r="M68" s="147"/>
      <c r="N68" s="147"/>
      <c r="O68" s="118"/>
    </row>
    <row r="69" spans="1:15">
      <c r="G69" s="119"/>
      <c r="H69" s="195"/>
      <c r="I69" s="224"/>
      <c r="J69" s="224"/>
      <c r="K69" s="224"/>
      <c r="L69" s="224"/>
      <c r="M69" s="224"/>
      <c r="N69" s="224"/>
      <c r="O69" s="118"/>
    </row>
    <row r="70" spans="1:15">
      <c r="G70" s="119"/>
      <c r="H70" s="195"/>
      <c r="I70" s="224"/>
      <c r="J70" s="224"/>
      <c r="K70" s="224"/>
      <c r="L70" s="224"/>
      <c r="M70" s="224"/>
      <c r="N70" s="224"/>
      <c r="O70" s="118"/>
    </row>
    <row r="71" spans="1:15">
      <c r="G71" s="119"/>
      <c r="H71" s="195"/>
      <c r="I71" s="224"/>
      <c r="J71" s="224"/>
      <c r="K71" s="224"/>
      <c r="L71" s="224"/>
      <c r="M71" s="224"/>
      <c r="N71" s="224"/>
      <c r="O71" s="118"/>
    </row>
    <row r="72" spans="1:15">
      <c r="G72" s="119"/>
      <c r="H72" s="195"/>
      <c r="I72" s="224"/>
      <c r="J72" s="224"/>
      <c r="K72" s="224"/>
      <c r="L72" s="224"/>
      <c r="M72" s="224"/>
      <c r="N72" s="224"/>
      <c r="O72" s="118"/>
    </row>
    <row r="73" spans="1:15">
      <c r="G73" s="119"/>
      <c r="H73" s="195"/>
      <c r="I73" s="224"/>
      <c r="J73" s="224"/>
      <c r="K73" s="224"/>
      <c r="L73" s="224"/>
      <c r="M73" s="224"/>
      <c r="N73" s="224"/>
      <c r="O73" s="118"/>
    </row>
    <row r="74" spans="1:15">
      <c r="G74" s="119"/>
      <c r="H74" s="195"/>
      <c r="I74" s="224"/>
      <c r="J74" s="224"/>
      <c r="K74" s="224"/>
      <c r="L74" s="224"/>
      <c r="M74" s="224"/>
      <c r="N74" s="224"/>
      <c r="O74" s="118"/>
    </row>
    <row r="75" spans="1:15">
      <c r="G75" s="119"/>
      <c r="H75" s="195"/>
      <c r="I75" s="224"/>
      <c r="J75" s="224"/>
      <c r="K75" s="224"/>
      <c r="L75" s="224"/>
      <c r="M75" s="224"/>
      <c r="N75" s="224"/>
      <c r="O75" s="118"/>
    </row>
    <row r="76" spans="1:15">
      <c r="G76" s="119"/>
      <c r="H76" s="195"/>
      <c r="I76" s="224"/>
      <c r="J76" s="224"/>
      <c r="K76" s="224"/>
      <c r="L76" s="224"/>
      <c r="M76" s="224"/>
      <c r="N76" s="224"/>
      <c r="O76" s="118"/>
    </row>
    <row r="77" spans="1:15">
      <c r="G77" s="119"/>
      <c r="H77" s="195"/>
      <c r="I77" s="224"/>
      <c r="J77" s="224"/>
      <c r="K77" s="224"/>
      <c r="L77" s="224"/>
      <c r="M77" s="224"/>
      <c r="N77" s="224"/>
      <c r="O77" s="118"/>
    </row>
    <row r="78" spans="1:15">
      <c r="A78" s="102"/>
      <c r="B78" s="211"/>
      <c r="G78" s="119"/>
      <c r="H78" s="195"/>
      <c r="I78" s="224"/>
      <c r="J78" s="224"/>
      <c r="K78" s="224"/>
      <c r="L78" s="224"/>
      <c r="M78" s="224"/>
      <c r="N78" s="224"/>
      <c r="O78" s="118"/>
    </row>
    <row r="79" spans="1:15">
      <c r="A79" s="102"/>
      <c r="B79" s="211"/>
      <c r="G79" s="119"/>
      <c r="H79" s="195"/>
      <c r="I79" s="224"/>
      <c r="J79" s="224"/>
      <c r="K79" s="224"/>
      <c r="L79" s="224"/>
      <c r="M79" s="224"/>
      <c r="N79" s="224"/>
      <c r="O79" s="118"/>
    </row>
    <row r="80" spans="1:15">
      <c r="A80" s="102"/>
      <c r="B80" s="211"/>
      <c r="G80" s="119"/>
      <c r="H80" s="195"/>
      <c r="I80" s="224"/>
      <c r="J80" s="224"/>
      <c r="K80" s="224"/>
      <c r="L80" s="224"/>
      <c r="M80" s="224"/>
      <c r="N80" s="224"/>
      <c r="O80" s="118"/>
    </row>
    <row r="81" spans="1:19">
      <c r="A81" s="102"/>
      <c r="B81" s="211"/>
      <c r="G81" s="119"/>
      <c r="H81" s="195"/>
      <c r="I81" s="224"/>
      <c r="J81" s="224"/>
      <c r="K81" s="224"/>
      <c r="L81" s="224"/>
      <c r="M81" s="224"/>
      <c r="N81" s="224"/>
      <c r="O81" s="118"/>
    </row>
    <row r="82" spans="1:19">
      <c r="A82" s="102"/>
      <c r="B82" s="211"/>
      <c r="G82" s="119"/>
      <c r="H82" s="195"/>
      <c r="I82" s="224"/>
      <c r="J82" s="224"/>
      <c r="K82" s="224"/>
      <c r="L82" s="224"/>
      <c r="M82" s="224"/>
      <c r="N82" s="224"/>
      <c r="O82" s="118"/>
    </row>
    <row r="83" spans="1:19">
      <c r="A83" s="102"/>
      <c r="B83" s="211"/>
      <c r="G83" s="119"/>
      <c r="H83" s="195"/>
      <c r="I83" s="224"/>
      <c r="J83" s="224"/>
      <c r="K83" s="224"/>
      <c r="L83" s="224"/>
      <c r="M83" s="224"/>
      <c r="N83" s="224"/>
      <c r="O83" s="118"/>
    </row>
    <row r="84" spans="1:19">
      <c r="A84" s="102"/>
      <c r="B84" s="211"/>
      <c r="G84" s="119"/>
      <c r="H84" s="195"/>
      <c r="I84" s="224"/>
      <c r="J84" s="224"/>
      <c r="K84" s="224"/>
      <c r="L84" s="224"/>
      <c r="M84" s="224"/>
      <c r="N84" s="224"/>
      <c r="O84" s="118"/>
    </row>
    <row r="85" spans="1:19">
      <c r="A85" s="102"/>
      <c r="B85" s="211"/>
      <c r="G85" s="119"/>
      <c r="H85" s="195"/>
      <c r="I85" s="224"/>
      <c r="J85" s="224"/>
      <c r="K85" s="224"/>
      <c r="L85" s="224"/>
      <c r="M85" s="224"/>
      <c r="N85" s="224"/>
      <c r="O85" s="118"/>
    </row>
    <row r="86" spans="1:19">
      <c r="A86" s="102"/>
      <c r="B86" s="211"/>
      <c r="G86" s="119"/>
      <c r="H86" s="195"/>
      <c r="I86" s="224"/>
      <c r="J86" s="224"/>
      <c r="K86" s="224"/>
      <c r="L86" s="224"/>
      <c r="M86" s="224"/>
      <c r="N86" s="224"/>
      <c r="O86" s="118"/>
    </row>
    <row r="87" spans="1:19">
      <c r="A87" s="102"/>
      <c r="B87" s="211"/>
      <c r="G87" s="119"/>
      <c r="H87" s="195"/>
      <c r="I87" s="224"/>
      <c r="J87" s="224"/>
      <c r="K87" s="224"/>
      <c r="L87" s="224"/>
      <c r="M87" s="224"/>
      <c r="N87" s="224"/>
      <c r="O87" s="118"/>
    </row>
    <row r="88" spans="1:19">
      <c r="A88" s="102"/>
      <c r="B88" s="211"/>
      <c r="G88" s="119"/>
      <c r="H88" s="195"/>
      <c r="I88" s="224"/>
      <c r="J88" s="224"/>
      <c r="K88" s="224"/>
      <c r="L88" s="224"/>
      <c r="M88" s="224"/>
      <c r="N88" s="224"/>
      <c r="O88" s="118"/>
    </row>
    <row r="89" spans="1:19">
      <c r="A89" s="102"/>
      <c r="B89" s="211"/>
      <c r="G89" s="119"/>
      <c r="H89" s="195"/>
      <c r="I89" s="224"/>
      <c r="J89" s="224"/>
      <c r="K89" s="224"/>
      <c r="L89" s="224"/>
      <c r="M89" s="224"/>
      <c r="N89" s="224"/>
      <c r="O89" s="118"/>
    </row>
    <row r="90" spans="1:19">
      <c r="A90" s="102"/>
      <c r="B90" s="211"/>
    </row>
    <row r="91" spans="1:19">
      <c r="A91" s="102"/>
      <c r="B91" s="211"/>
    </row>
    <row r="92" spans="1:19">
      <c r="A92" s="102"/>
      <c r="B92" s="211"/>
    </row>
    <row r="93" spans="1:19">
      <c r="A93" s="102"/>
      <c r="B93" s="211"/>
      <c r="G93" s="225" t="s">
        <v>260</v>
      </c>
    </row>
    <row r="94" spans="1:19">
      <c r="A94" s="102"/>
      <c r="B94" s="211"/>
      <c r="G94" s="213"/>
      <c r="H94" s="149" t="s">
        <v>261</v>
      </c>
    </row>
    <row r="95" spans="1:19">
      <c r="A95" s="102"/>
      <c r="B95" s="211"/>
      <c r="G95" s="149" t="s">
        <v>259</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c r="A96" s="102"/>
      <c r="B96" s="211"/>
      <c r="G96" s="149" t="s">
        <v>259</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c r="A97" s="102"/>
      <c r="B97" s="211"/>
      <c r="G97" s="81" t="s">
        <v>257</v>
      </c>
      <c r="H97" s="226">
        <f>IF(MIN(H95,H96)&gt;1,0,MIN(H95,H96))</f>
        <v>4.9999999500000004E-5</v>
      </c>
      <c r="I97" s="226">
        <f t="shared" ref="I97:S97" si="15">IF(MIN(I95,I96)&gt;1,0,MIN(I95,I96))</f>
        <v>4.9999999500000004E-5</v>
      </c>
      <c r="J97" s="226">
        <f t="shared" si="15"/>
        <v>5.0000000500000007E-5</v>
      </c>
      <c r="K97" s="226">
        <f t="shared" si="15"/>
        <v>5.0000000500000007E-5</v>
      </c>
      <c r="L97" s="226">
        <f t="shared" si="15"/>
        <v>0</v>
      </c>
      <c r="M97" s="226">
        <f t="shared" si="15"/>
        <v>0</v>
      </c>
      <c r="N97" s="226">
        <f t="shared" si="15"/>
        <v>0</v>
      </c>
      <c r="O97" s="226">
        <f t="shared" si="15"/>
        <v>0</v>
      </c>
      <c r="P97" s="226">
        <f t="shared" si="15"/>
        <v>0</v>
      </c>
      <c r="Q97" s="226">
        <f t="shared" si="15"/>
        <v>0</v>
      </c>
      <c r="R97" s="226">
        <f t="shared" si="15"/>
        <v>0</v>
      </c>
      <c r="S97" s="226">
        <f t="shared" si="15"/>
        <v>0</v>
      </c>
    </row>
    <row r="98" spans="1:19">
      <c r="A98" s="102"/>
      <c r="B98" s="211"/>
      <c r="H98" s="149" t="s">
        <v>262</v>
      </c>
      <c r="I98" s="149"/>
      <c r="J98" s="149"/>
      <c r="K98" s="149"/>
      <c r="L98" s="149"/>
      <c r="M98" s="149"/>
      <c r="N98" s="149"/>
      <c r="O98" s="149"/>
      <c r="P98" s="149"/>
      <c r="Q98" s="149"/>
      <c r="R98" s="149"/>
      <c r="S98" s="149"/>
    </row>
    <row r="99" spans="1:19">
      <c r="A99" s="102"/>
      <c r="B99" s="211"/>
      <c r="G99" s="115" t="s">
        <v>259</v>
      </c>
      <c r="H99" s="154">
        <f t="shared" ref="H99:S99" si="16">H48/ABS(H30+0.000001)</f>
        <v>4.9999999500000004E-5</v>
      </c>
      <c r="I99" s="154">
        <f t="shared" si="16"/>
        <v>5.0000000500000007E-5</v>
      </c>
      <c r="J99" s="154">
        <f t="shared" si="16"/>
        <v>5.0000000500000007E-5</v>
      </c>
      <c r="K99" s="154">
        <f t="shared" si="16"/>
        <v>4.9999999500000004E-5</v>
      </c>
      <c r="L99" s="154">
        <f t="shared" si="16"/>
        <v>0</v>
      </c>
      <c r="M99" s="154">
        <f t="shared" si="16"/>
        <v>0</v>
      </c>
      <c r="N99" s="154">
        <f t="shared" si="16"/>
        <v>0</v>
      </c>
      <c r="O99" s="154">
        <f t="shared" si="16"/>
        <v>0</v>
      </c>
      <c r="P99" s="154">
        <f t="shared" si="16"/>
        <v>0</v>
      </c>
      <c r="Q99" s="154">
        <f t="shared" si="16"/>
        <v>0</v>
      </c>
      <c r="R99" s="154">
        <f t="shared" si="16"/>
        <v>0</v>
      </c>
      <c r="S99" s="154">
        <f t="shared" si="16"/>
        <v>0</v>
      </c>
    </row>
    <row r="100" spans="1:19">
      <c r="A100" s="102"/>
      <c r="B100" s="211"/>
      <c r="G100" s="115" t="s">
        <v>259</v>
      </c>
      <c r="H100" s="227">
        <f t="shared" ref="H100:S100" si="17">H46/ABS(H32+0.000001)</f>
        <v>5000</v>
      </c>
      <c r="I100" s="227">
        <f t="shared" si="17"/>
        <v>5000</v>
      </c>
      <c r="J100" s="227">
        <f t="shared" si="17"/>
        <v>5000</v>
      </c>
      <c r="K100" s="227">
        <f t="shared" si="17"/>
        <v>5000</v>
      </c>
      <c r="L100" s="227">
        <f t="shared" si="17"/>
        <v>0</v>
      </c>
      <c r="M100" s="227">
        <f t="shared" si="17"/>
        <v>0</v>
      </c>
      <c r="N100" s="227">
        <f t="shared" si="17"/>
        <v>0</v>
      </c>
      <c r="O100" s="227">
        <f t="shared" si="17"/>
        <v>0</v>
      </c>
      <c r="P100" s="227">
        <f t="shared" si="17"/>
        <v>0</v>
      </c>
      <c r="Q100" s="227">
        <f t="shared" si="17"/>
        <v>0</v>
      </c>
      <c r="R100" s="227">
        <f t="shared" si="17"/>
        <v>0</v>
      </c>
      <c r="S100" s="227">
        <f t="shared" si="17"/>
        <v>0</v>
      </c>
    </row>
    <row r="101" spans="1:19">
      <c r="A101" s="102"/>
      <c r="B101" s="211"/>
      <c r="G101" s="81" t="s">
        <v>257</v>
      </c>
      <c r="H101" s="226">
        <f>IF(MIN(H99,H100)&gt;1,0,MIN(H99,H100))</f>
        <v>4.9999999500000004E-5</v>
      </c>
      <c r="I101" s="226">
        <f t="shared" ref="I101:S101" si="18">IF(MIN(I99,I100)&gt;1,0,MIN(I99,I100))</f>
        <v>5.0000000500000007E-5</v>
      </c>
      <c r="J101" s="226">
        <f t="shared" si="18"/>
        <v>5.0000000500000007E-5</v>
      </c>
      <c r="K101" s="226">
        <f t="shared" si="18"/>
        <v>4.9999999500000004E-5</v>
      </c>
      <c r="L101" s="226">
        <f t="shared" si="18"/>
        <v>0</v>
      </c>
      <c r="M101" s="226">
        <f t="shared" si="18"/>
        <v>0</v>
      </c>
      <c r="N101" s="226">
        <f t="shared" si="18"/>
        <v>0</v>
      </c>
      <c r="O101" s="226">
        <f t="shared" si="18"/>
        <v>0</v>
      </c>
      <c r="P101" s="226">
        <f t="shared" si="18"/>
        <v>0</v>
      </c>
      <c r="Q101" s="226">
        <f t="shared" si="18"/>
        <v>0</v>
      </c>
      <c r="R101" s="226">
        <f t="shared" si="18"/>
        <v>0</v>
      </c>
      <c r="S101" s="226">
        <f t="shared" si="18"/>
        <v>0</v>
      </c>
    </row>
    <row r="102" spans="1:19">
      <c r="A102" s="102"/>
      <c r="B102" s="211"/>
      <c r="H102" s="81" t="s">
        <v>263</v>
      </c>
    </row>
    <row r="103" spans="1:19">
      <c r="A103" s="102"/>
      <c r="B103" s="211"/>
      <c r="G103" s="149" t="s">
        <v>259</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c r="A104" s="102"/>
      <c r="B104" s="211"/>
      <c r="G104" s="149" t="s">
        <v>259</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c r="A105" s="102"/>
      <c r="B105" s="211"/>
      <c r="G105" s="81" t="s">
        <v>257</v>
      </c>
      <c r="H105" s="226">
        <f>IF(MIN(H103,H104)&gt;1,0,MIN(H103,H104))</f>
        <v>4.9999999500000004E-5</v>
      </c>
      <c r="I105" s="226">
        <f t="shared" ref="I105:S105" si="21">IF(MIN(I103,I104)&gt;1,0,MIN(I103,I104))</f>
        <v>4.9999999500000004E-5</v>
      </c>
      <c r="J105" s="226">
        <f t="shared" si="21"/>
        <v>5.0000000500000007E-5</v>
      </c>
      <c r="K105" s="226">
        <f t="shared" si="21"/>
        <v>4.9999999500000004E-5</v>
      </c>
      <c r="L105" s="226">
        <f t="shared" si="21"/>
        <v>0</v>
      </c>
      <c r="M105" s="226">
        <f t="shared" si="21"/>
        <v>0</v>
      </c>
      <c r="N105" s="226">
        <f t="shared" si="21"/>
        <v>0</v>
      </c>
      <c r="O105" s="226">
        <f t="shared" si="21"/>
        <v>0</v>
      </c>
      <c r="P105" s="226">
        <f t="shared" si="21"/>
        <v>0</v>
      </c>
      <c r="Q105" s="226">
        <f t="shared" si="21"/>
        <v>0</v>
      </c>
      <c r="R105" s="226">
        <f t="shared" si="21"/>
        <v>0</v>
      </c>
      <c r="S105" s="226">
        <f t="shared" si="21"/>
        <v>0</v>
      </c>
    </row>
    <row r="106" spans="1:19">
      <c r="A106" s="102"/>
      <c r="B106" s="211"/>
    </row>
    <row r="107" spans="1:19">
      <c r="A107" s="102"/>
      <c r="B107" s="211"/>
      <c r="G107" s="225" t="s">
        <v>308</v>
      </c>
      <c r="H107" s="225"/>
      <c r="I107" s="225"/>
      <c r="J107" s="225"/>
      <c r="K107" s="225"/>
      <c r="L107" s="225"/>
      <c r="M107" s="225"/>
      <c r="N107" s="225"/>
      <c r="O107" s="225"/>
      <c r="P107" s="225"/>
    </row>
    <row r="108" spans="1:19">
      <c r="H108" s="102" t="s">
        <v>254</v>
      </c>
      <c r="I108" s="102"/>
      <c r="J108" s="102"/>
      <c r="K108" s="102"/>
      <c r="L108" s="102"/>
      <c r="M108" s="102"/>
      <c r="N108" s="102"/>
      <c r="O108" s="102"/>
      <c r="P108" s="102"/>
      <c r="Q108" s="102"/>
      <c r="R108" s="102"/>
      <c r="S108" s="102"/>
    </row>
    <row r="109" spans="1:19">
      <c r="G109" s="149" t="s">
        <v>259</v>
      </c>
      <c r="H109" s="226">
        <f t="shared" ref="H109:S109" si="22">H55/(H32+0.000001)</f>
        <v>0</v>
      </c>
      <c r="I109" s="226">
        <f t="shared" si="22"/>
        <v>0</v>
      </c>
      <c r="J109" s="226">
        <f t="shared" si="22"/>
        <v>0</v>
      </c>
      <c r="K109" s="226">
        <f t="shared" si="22"/>
        <v>0</v>
      </c>
      <c r="L109" s="226">
        <f t="shared" si="22"/>
        <v>0</v>
      </c>
      <c r="M109" s="226">
        <f t="shared" si="22"/>
        <v>0</v>
      </c>
      <c r="N109" s="226">
        <f t="shared" si="22"/>
        <v>0</v>
      </c>
      <c r="O109" s="226">
        <f t="shared" si="22"/>
        <v>0</v>
      </c>
      <c r="P109" s="226">
        <f t="shared" si="22"/>
        <v>0</v>
      </c>
      <c r="Q109" s="226">
        <f t="shared" si="22"/>
        <v>0</v>
      </c>
      <c r="R109" s="226">
        <f t="shared" si="22"/>
        <v>0</v>
      </c>
      <c r="S109" s="226">
        <f t="shared" si="22"/>
        <v>0</v>
      </c>
    </row>
    <row r="110" spans="1:19">
      <c r="G110" s="149" t="s">
        <v>259</v>
      </c>
      <c r="H110" s="228">
        <f t="shared" ref="H110:S110" si="23">H56/(H31+0.000001)</f>
        <v>0</v>
      </c>
      <c r="I110" s="228">
        <f t="shared" si="23"/>
        <v>0</v>
      </c>
      <c r="J110" s="228">
        <f t="shared" si="23"/>
        <v>0</v>
      </c>
      <c r="K110" s="228">
        <f t="shared" si="23"/>
        <v>0</v>
      </c>
      <c r="L110" s="228">
        <f t="shared" si="23"/>
        <v>0</v>
      </c>
      <c r="M110" s="228">
        <f t="shared" si="23"/>
        <v>0</v>
      </c>
      <c r="N110" s="228">
        <f t="shared" si="23"/>
        <v>0</v>
      </c>
      <c r="O110" s="228">
        <f t="shared" si="23"/>
        <v>0</v>
      </c>
      <c r="P110" s="228">
        <f t="shared" si="23"/>
        <v>0</v>
      </c>
      <c r="Q110" s="228">
        <f t="shared" si="23"/>
        <v>0</v>
      </c>
      <c r="R110" s="228">
        <f t="shared" si="23"/>
        <v>0</v>
      </c>
      <c r="S110" s="228">
        <f t="shared" si="23"/>
        <v>0</v>
      </c>
    </row>
    <row r="111" spans="1:19">
      <c r="G111" s="81" t="s">
        <v>258</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c r="G112" s="81" t="s">
        <v>257</v>
      </c>
      <c r="H112" s="226">
        <f>IF(H111*MIN(ABS(H109),ABS(H110))&gt;1,0,H111*MIN(ABS(H109),ABS(H110)))</f>
        <v>0</v>
      </c>
      <c r="I112" s="226">
        <f t="shared" ref="I112:S112" si="25">IF(I111*MIN(ABS(I109),ABS(I110))&gt;1,0,I111*MIN(ABS(I109),ABS(I110)))</f>
        <v>0</v>
      </c>
      <c r="J112" s="226">
        <f t="shared" si="25"/>
        <v>0</v>
      </c>
      <c r="K112" s="226">
        <f t="shared" si="25"/>
        <v>0</v>
      </c>
      <c r="L112" s="226">
        <f t="shared" si="25"/>
        <v>0</v>
      </c>
      <c r="M112" s="226">
        <f t="shared" si="25"/>
        <v>0</v>
      </c>
      <c r="N112" s="226">
        <f t="shared" si="25"/>
        <v>0</v>
      </c>
      <c r="O112" s="226">
        <f t="shared" si="25"/>
        <v>0</v>
      </c>
      <c r="P112" s="226">
        <f t="shared" si="25"/>
        <v>0</v>
      </c>
      <c r="Q112" s="226">
        <f t="shared" si="25"/>
        <v>0</v>
      </c>
      <c r="R112" s="226">
        <f t="shared" si="25"/>
        <v>0</v>
      </c>
      <c r="S112" s="226">
        <f t="shared" si="25"/>
        <v>0</v>
      </c>
    </row>
    <row r="113" spans="7:19">
      <c r="H113" s="102" t="s">
        <v>255</v>
      </c>
      <c r="I113" s="102"/>
      <c r="J113" s="102"/>
      <c r="K113" s="102"/>
      <c r="L113" s="102"/>
      <c r="M113" s="102"/>
      <c r="N113" s="102"/>
      <c r="O113" s="102"/>
      <c r="P113" s="102"/>
      <c r="Q113" s="102"/>
      <c r="R113" s="102"/>
      <c r="S113" s="102"/>
    </row>
    <row r="114" spans="7:19">
      <c r="G114" s="115" t="s">
        <v>259</v>
      </c>
      <c r="H114" s="154">
        <f t="shared" ref="H114:S114" si="26">-H56/(H30+0.000001)</f>
        <v>0</v>
      </c>
      <c r="I114" s="154">
        <f t="shared" si="26"/>
        <v>0</v>
      </c>
      <c r="J114" s="154">
        <f t="shared" si="26"/>
        <v>0</v>
      </c>
      <c r="K114" s="154">
        <f t="shared" si="26"/>
        <v>0</v>
      </c>
      <c r="L114" s="154">
        <f t="shared" si="26"/>
        <v>0</v>
      </c>
      <c r="M114" s="154">
        <f t="shared" si="26"/>
        <v>0</v>
      </c>
      <c r="N114" s="154">
        <f t="shared" si="26"/>
        <v>0</v>
      </c>
      <c r="O114" s="154">
        <f t="shared" si="26"/>
        <v>0</v>
      </c>
      <c r="P114" s="154">
        <f t="shared" si="26"/>
        <v>0</v>
      </c>
      <c r="Q114" s="154">
        <f t="shared" si="26"/>
        <v>0</v>
      </c>
      <c r="R114" s="154">
        <f t="shared" si="26"/>
        <v>0</v>
      </c>
      <c r="S114" s="154">
        <f t="shared" si="26"/>
        <v>0</v>
      </c>
    </row>
    <row r="115" spans="7:19">
      <c r="G115" s="115" t="s">
        <v>259</v>
      </c>
      <c r="H115" s="154">
        <f t="shared" ref="H115:S115" si="27">H54/(H32+0.000001)</f>
        <v>0</v>
      </c>
      <c r="I115" s="154">
        <f t="shared" si="27"/>
        <v>0</v>
      </c>
      <c r="J115" s="154">
        <f t="shared" si="27"/>
        <v>0</v>
      </c>
      <c r="K115" s="154">
        <f t="shared" si="27"/>
        <v>0</v>
      </c>
      <c r="L115" s="154">
        <f t="shared" si="27"/>
        <v>0</v>
      </c>
      <c r="M115" s="154">
        <f t="shared" si="27"/>
        <v>0</v>
      </c>
      <c r="N115" s="154">
        <f t="shared" si="27"/>
        <v>0</v>
      </c>
      <c r="O115" s="154">
        <f t="shared" si="27"/>
        <v>0</v>
      </c>
      <c r="P115" s="154">
        <f t="shared" si="27"/>
        <v>0</v>
      </c>
      <c r="Q115" s="154">
        <f t="shared" si="27"/>
        <v>0</v>
      </c>
      <c r="R115" s="154">
        <f t="shared" si="27"/>
        <v>0</v>
      </c>
      <c r="S115" s="154">
        <f t="shared" si="27"/>
        <v>0</v>
      </c>
    </row>
    <row r="116" spans="7:19">
      <c r="G116" s="154" t="s">
        <v>258</v>
      </c>
      <c r="H116" s="229">
        <f>SIGN(H114+0.000000000001)*SIGN(H115+0.000000000001)</f>
        <v>1</v>
      </c>
      <c r="I116" s="229">
        <f t="shared" ref="I116:S116" si="28">SIGN(I114+0.000000000001)*SIGN(I115+0.000000000001)</f>
        <v>1</v>
      </c>
      <c r="J116" s="229">
        <f t="shared" si="28"/>
        <v>1</v>
      </c>
      <c r="K116" s="229">
        <f t="shared" si="28"/>
        <v>1</v>
      </c>
      <c r="L116" s="229">
        <f t="shared" si="28"/>
        <v>1</v>
      </c>
      <c r="M116" s="229">
        <f t="shared" si="28"/>
        <v>1</v>
      </c>
      <c r="N116" s="229">
        <f t="shared" si="28"/>
        <v>1</v>
      </c>
      <c r="O116" s="229">
        <f t="shared" si="28"/>
        <v>1</v>
      </c>
      <c r="P116" s="229">
        <f t="shared" si="28"/>
        <v>1</v>
      </c>
      <c r="Q116" s="229">
        <f t="shared" si="28"/>
        <v>1</v>
      </c>
      <c r="R116" s="229">
        <f t="shared" si="28"/>
        <v>1</v>
      </c>
      <c r="S116" s="229">
        <f t="shared" si="28"/>
        <v>1</v>
      </c>
    </row>
    <row r="117" spans="7:19">
      <c r="G117" s="154" t="s">
        <v>257</v>
      </c>
      <c r="H117" s="230">
        <f>IF(H116*MIN(ABS(H114),ABS(H115))&gt;1,0,H116*MIN(ABS(H114),ABS(H115)))</f>
        <v>0</v>
      </c>
      <c r="I117" s="230">
        <f t="shared" ref="I117:S117" si="29">IF(I116*MIN(ABS(I114),ABS(I115))&gt;1,0,I116*MIN(ABS(I114),ABS(I115)))</f>
        <v>0</v>
      </c>
      <c r="J117" s="230">
        <f t="shared" si="29"/>
        <v>0</v>
      </c>
      <c r="K117" s="230">
        <f t="shared" si="29"/>
        <v>0</v>
      </c>
      <c r="L117" s="230">
        <f t="shared" si="29"/>
        <v>0</v>
      </c>
      <c r="M117" s="230">
        <f t="shared" si="29"/>
        <v>0</v>
      </c>
      <c r="N117" s="230">
        <f t="shared" si="29"/>
        <v>0</v>
      </c>
      <c r="O117" s="230">
        <f t="shared" si="29"/>
        <v>0</v>
      </c>
      <c r="P117" s="230">
        <f t="shared" si="29"/>
        <v>0</v>
      </c>
      <c r="Q117" s="230">
        <f t="shared" si="29"/>
        <v>0</v>
      </c>
      <c r="R117" s="230">
        <f t="shared" si="29"/>
        <v>0</v>
      </c>
      <c r="S117" s="230">
        <f t="shared" si="29"/>
        <v>0</v>
      </c>
    </row>
    <row r="118" spans="7:19">
      <c r="H118" s="102" t="s">
        <v>256</v>
      </c>
      <c r="I118" s="102"/>
      <c r="J118" s="102"/>
      <c r="K118" s="102"/>
      <c r="L118" s="102"/>
      <c r="M118" s="102"/>
      <c r="N118" s="102"/>
      <c r="O118" s="102"/>
      <c r="P118" s="102"/>
      <c r="Q118" s="102"/>
      <c r="R118" s="102"/>
      <c r="S118" s="102"/>
    </row>
    <row r="119" spans="7:19">
      <c r="G119" s="149" t="s">
        <v>259</v>
      </c>
      <c r="H119" s="226">
        <f t="shared" ref="H119:S119" si="30">H55/(H30+0.000001)</f>
        <v>0</v>
      </c>
      <c r="I119" s="226">
        <f t="shared" si="30"/>
        <v>0</v>
      </c>
      <c r="J119" s="226">
        <f t="shared" si="30"/>
        <v>0</v>
      </c>
      <c r="K119" s="226">
        <f t="shared" si="30"/>
        <v>0</v>
      </c>
      <c r="L119" s="226">
        <f t="shared" si="30"/>
        <v>0</v>
      </c>
      <c r="M119" s="226">
        <f t="shared" si="30"/>
        <v>0</v>
      </c>
      <c r="N119" s="226">
        <f t="shared" si="30"/>
        <v>0</v>
      </c>
      <c r="O119" s="226">
        <f t="shared" si="30"/>
        <v>0</v>
      </c>
      <c r="P119" s="226">
        <f t="shared" si="30"/>
        <v>0</v>
      </c>
      <c r="Q119" s="226">
        <f t="shared" si="30"/>
        <v>0</v>
      </c>
      <c r="R119" s="226">
        <f t="shared" si="30"/>
        <v>0</v>
      </c>
      <c r="S119" s="226">
        <f t="shared" si="30"/>
        <v>0</v>
      </c>
    </row>
    <row r="120" spans="7:19">
      <c r="G120" s="149" t="s">
        <v>259</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c r="G121" s="81" t="s">
        <v>258</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c r="G122" s="81" t="s">
        <v>257</v>
      </c>
      <c r="H122" s="226">
        <f>IF(H121*MIN(ABS(H119),ABS(H120))&gt;1,0,H121*MIN(ABS(H119),ABS(H120)))</f>
        <v>0</v>
      </c>
      <c r="I122" s="226">
        <f t="shared" ref="I122:S122" si="33">IF(I121*MIN(ABS(I119),ABS(I120))&gt;1,0,I121*MIN(ABS(I119),ABS(I120)))</f>
        <v>0</v>
      </c>
      <c r="J122" s="226">
        <f t="shared" si="33"/>
        <v>0</v>
      </c>
      <c r="K122" s="226">
        <f t="shared" si="33"/>
        <v>0</v>
      </c>
      <c r="L122" s="226">
        <f t="shared" si="33"/>
        <v>0</v>
      </c>
      <c r="M122" s="226">
        <f t="shared" si="33"/>
        <v>0</v>
      </c>
      <c r="N122" s="226">
        <f t="shared" si="33"/>
        <v>0</v>
      </c>
      <c r="O122" s="226">
        <f t="shared" si="33"/>
        <v>0</v>
      </c>
      <c r="P122" s="226">
        <f t="shared" si="33"/>
        <v>0</v>
      </c>
      <c r="Q122" s="226">
        <f t="shared" si="33"/>
        <v>0</v>
      </c>
      <c r="R122" s="226">
        <f t="shared" si="33"/>
        <v>0</v>
      </c>
      <c r="S122" s="226">
        <f t="shared" si="33"/>
        <v>0</v>
      </c>
    </row>
    <row r="123" spans="7:19">
      <c r="G123" s="149"/>
    </row>
    <row r="124" spans="7:19">
      <c r="H124" s="144"/>
      <c r="I124" s="144"/>
      <c r="J124" s="144"/>
      <c r="K124" s="144"/>
      <c r="L124" s="144"/>
      <c r="M124" s="144"/>
      <c r="N124" s="144"/>
      <c r="O124" s="144"/>
      <c r="P124" s="144"/>
      <c r="Q124" s="144"/>
      <c r="R124" s="144"/>
      <c r="S124" s="144"/>
    </row>
    <row r="125" spans="7:19">
      <c r="H125" s="226"/>
      <c r="I125" s="226"/>
      <c r="J125" s="226"/>
      <c r="K125" s="226"/>
      <c r="L125" s="226"/>
      <c r="M125" s="226"/>
      <c r="N125" s="226"/>
      <c r="O125" s="226"/>
      <c r="P125" s="226"/>
      <c r="Q125" s="226"/>
      <c r="R125" s="226"/>
      <c r="S125" s="226"/>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baseColWidth="10" defaultColWidth="11" defaultRowHeight="15" x14ac:dyDescent="0"/>
  <cols>
    <col min="1" max="1" width="45.33203125" style="81" customWidth="1"/>
    <col min="2" max="2" width="19.83203125" style="81" customWidth="1"/>
    <col min="3" max="3" width="39.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Loads'!A243</f>
        <v>CS 8</v>
      </c>
      <c r="B1" s="207" t="str">
        <f>'CSs and Loads'!A121</f>
        <v>Y-axis</v>
      </c>
    </row>
    <row r="2" spans="1:18">
      <c r="A2" s="82" t="s">
        <v>132</v>
      </c>
      <c r="I2" s="208"/>
      <c r="L2" s="209"/>
      <c r="M2" s="209"/>
      <c r="N2" s="209"/>
    </row>
    <row r="3" spans="1:18">
      <c r="A3" s="210" t="s">
        <v>111</v>
      </c>
      <c r="E3" s="349" t="s">
        <v>379</v>
      </c>
      <c r="F3" s="349"/>
      <c r="G3" s="349"/>
      <c r="H3" s="349"/>
      <c r="I3" s="349"/>
      <c r="J3" s="349"/>
      <c r="K3" s="349"/>
      <c r="L3" s="349"/>
      <c r="M3" s="349"/>
      <c r="O3" s="211"/>
      <c r="P3" s="211"/>
      <c r="Q3" s="211"/>
      <c r="R3" s="211"/>
    </row>
    <row r="4" spans="1:18">
      <c r="A4" s="210"/>
      <c r="C4" s="82" t="s">
        <v>376</v>
      </c>
      <c r="D4" s="82"/>
      <c r="E4" s="361" t="s">
        <v>378</v>
      </c>
      <c r="F4" s="361"/>
      <c r="G4" s="361"/>
      <c r="H4" s="361"/>
      <c r="I4" s="361"/>
      <c r="J4" s="361"/>
      <c r="K4" s="361"/>
      <c r="L4" s="361"/>
      <c r="M4" s="361"/>
      <c r="O4" s="211"/>
      <c r="P4" s="211"/>
      <c r="Q4" s="211"/>
      <c r="R4" s="211"/>
    </row>
    <row r="5" spans="1:18">
      <c r="A5" s="210"/>
      <c r="C5" s="102" t="s">
        <v>374</v>
      </c>
      <c r="D5" s="82">
        <v>25</v>
      </c>
      <c r="E5" s="119" t="s">
        <v>282</v>
      </c>
      <c r="F5" s="326" t="s">
        <v>285</v>
      </c>
      <c r="G5" s="147">
        <v>0</v>
      </c>
      <c r="H5" s="147">
        <v>0</v>
      </c>
      <c r="I5" s="147">
        <v>0</v>
      </c>
      <c r="J5" s="147">
        <v>0</v>
      </c>
      <c r="K5" s="147">
        <v>0</v>
      </c>
      <c r="L5" s="147">
        <v>0</v>
      </c>
      <c r="M5" s="216" t="s">
        <v>276</v>
      </c>
      <c r="O5" s="211"/>
      <c r="P5" s="211"/>
      <c r="Q5" s="211"/>
      <c r="R5" s="211"/>
    </row>
    <row r="6" spans="1:18">
      <c r="A6" s="210"/>
      <c r="C6" s="102" t="s">
        <v>32</v>
      </c>
      <c r="D6" s="82">
        <f>1770*9.8</f>
        <v>17346</v>
      </c>
      <c r="E6" s="119" t="s">
        <v>283</v>
      </c>
      <c r="F6" s="326"/>
      <c r="G6" s="147">
        <v>0</v>
      </c>
      <c r="H6" s="147">
        <v>0</v>
      </c>
      <c r="I6" s="147">
        <v>0</v>
      </c>
      <c r="J6" s="147">
        <v>0</v>
      </c>
      <c r="K6" s="147">
        <v>0</v>
      </c>
      <c r="L6" s="147">
        <v>0</v>
      </c>
      <c r="M6" s="216" t="s">
        <v>277</v>
      </c>
      <c r="O6" s="211"/>
      <c r="P6" s="211"/>
      <c r="Q6" s="211"/>
      <c r="R6" s="211"/>
    </row>
    <row r="7" spans="1:18">
      <c r="A7" s="210"/>
      <c r="C7" s="102" t="s">
        <v>243</v>
      </c>
      <c r="D7" s="82">
        <f>647*1000</f>
        <v>647000</v>
      </c>
      <c r="E7" s="119" t="s">
        <v>284</v>
      </c>
      <c r="F7" s="326"/>
      <c r="G7" s="147">
        <v>0</v>
      </c>
      <c r="H7" s="147">
        <v>0</v>
      </c>
      <c r="I7" s="147">
        <v>0</v>
      </c>
      <c r="J7" s="147">
        <v>0</v>
      </c>
      <c r="K7" s="147">
        <v>0</v>
      </c>
      <c r="L7" s="147">
        <v>0</v>
      </c>
      <c r="M7" s="216" t="s">
        <v>278</v>
      </c>
      <c r="O7" s="211"/>
      <c r="P7" s="211"/>
      <c r="Q7" s="211"/>
      <c r="R7" s="211"/>
    </row>
    <row r="8" spans="1:18">
      <c r="A8" s="210"/>
      <c r="C8" s="102" t="s">
        <v>33</v>
      </c>
      <c r="D8" s="82">
        <v>3</v>
      </c>
      <c r="E8" s="119" t="s">
        <v>273</v>
      </c>
      <c r="F8" s="326"/>
      <c r="G8" s="147">
        <v>0</v>
      </c>
      <c r="H8" s="147">
        <v>0</v>
      </c>
      <c r="I8" s="147">
        <v>0</v>
      </c>
      <c r="J8" s="147">
        <v>0</v>
      </c>
      <c r="K8" s="147">
        <v>0</v>
      </c>
      <c r="L8" s="147">
        <v>0</v>
      </c>
      <c r="M8" s="216" t="s">
        <v>279</v>
      </c>
      <c r="O8" s="211"/>
      <c r="P8" s="211"/>
      <c r="Q8" s="211"/>
      <c r="R8" s="211"/>
    </row>
    <row r="9" spans="1:18">
      <c r="A9" s="210"/>
      <c r="C9" s="102" t="s">
        <v>34</v>
      </c>
      <c r="D9" s="82">
        <v>0.01</v>
      </c>
      <c r="E9" s="119" t="s">
        <v>275</v>
      </c>
      <c r="F9" s="326"/>
      <c r="G9" s="147">
        <v>0</v>
      </c>
      <c r="H9" s="147">
        <v>0</v>
      </c>
      <c r="I9" s="147">
        <v>0</v>
      </c>
      <c r="J9" s="147">
        <v>0</v>
      </c>
      <c r="K9" s="147">
        <v>0</v>
      </c>
      <c r="L9" s="147">
        <v>0</v>
      </c>
      <c r="M9" s="216" t="s">
        <v>280</v>
      </c>
      <c r="O9" s="211"/>
      <c r="P9" s="211"/>
      <c r="Q9" s="211"/>
      <c r="R9" s="211"/>
    </row>
    <row r="10" spans="1:18">
      <c r="A10" s="210"/>
      <c r="C10" s="102" t="s">
        <v>288</v>
      </c>
      <c r="D10" s="83">
        <f>D6/(D8*D9)</f>
        <v>578200</v>
      </c>
      <c r="E10" s="119" t="s">
        <v>274</v>
      </c>
      <c r="F10" s="326"/>
      <c r="G10" s="147">
        <v>0</v>
      </c>
      <c r="H10" s="147">
        <v>0</v>
      </c>
      <c r="I10" s="147">
        <v>0</v>
      </c>
      <c r="J10" s="147">
        <v>0</v>
      </c>
      <c r="K10" s="147">
        <v>0</v>
      </c>
      <c r="L10" s="147">
        <v>0</v>
      </c>
      <c r="M10" s="216" t="s">
        <v>281</v>
      </c>
      <c r="O10" s="211"/>
      <c r="P10" s="211"/>
      <c r="Q10" s="211"/>
      <c r="R10" s="211"/>
    </row>
    <row r="11" spans="1:18">
      <c r="A11" s="210"/>
      <c r="C11" s="102" t="s">
        <v>35</v>
      </c>
      <c r="D11" s="82">
        <v>25</v>
      </c>
      <c r="O11" s="211"/>
      <c r="P11" s="211"/>
      <c r="Q11" s="211"/>
      <c r="R11" s="211"/>
    </row>
    <row r="12" spans="1:18">
      <c r="A12" s="210"/>
      <c r="C12" s="102" t="s">
        <v>386</v>
      </c>
      <c r="D12" s="101">
        <f>D7*D11^2/4</f>
        <v>101093750</v>
      </c>
      <c r="O12" s="211"/>
      <c r="P12" s="211"/>
      <c r="Q12" s="211"/>
      <c r="R12" s="211"/>
    </row>
    <row r="13" spans="1:18">
      <c r="A13" s="210"/>
      <c r="C13" s="102" t="s">
        <v>289</v>
      </c>
      <c r="D13" s="101">
        <f>D7*D11^2/12</f>
        <v>33697916.666666664</v>
      </c>
      <c r="O13" s="211"/>
      <c r="P13" s="211"/>
      <c r="Q13" s="211"/>
      <c r="R13" s="211"/>
    </row>
    <row r="14" spans="1:18">
      <c r="A14" s="210"/>
      <c r="C14" s="102" t="s">
        <v>290</v>
      </c>
      <c r="D14" s="97">
        <f>D13</f>
        <v>33697916.666666664</v>
      </c>
      <c r="O14" s="211"/>
      <c r="P14" s="211"/>
      <c r="Q14" s="211"/>
      <c r="R14" s="211"/>
    </row>
    <row r="15" spans="1:18">
      <c r="A15" s="210"/>
      <c r="C15" s="114" t="s">
        <v>375</v>
      </c>
      <c r="D15" s="82"/>
      <c r="O15" s="211"/>
      <c r="P15" s="211"/>
      <c r="Q15" s="211"/>
      <c r="R15" s="211"/>
    </row>
    <row r="16" spans="1:18">
      <c r="A16" s="210"/>
      <c r="C16" s="115" t="s">
        <v>267</v>
      </c>
      <c r="D16" s="82"/>
      <c r="O16" s="211"/>
      <c r="P16" s="211"/>
      <c r="Q16" s="211"/>
      <c r="R16" s="211"/>
    </row>
    <row r="17" spans="1:19">
      <c r="A17" s="210"/>
      <c r="C17" s="116" t="s">
        <v>269</v>
      </c>
      <c r="D17" s="82">
        <v>18</v>
      </c>
      <c r="O17" s="211"/>
      <c r="P17" s="211"/>
      <c r="Q17" s="211"/>
      <c r="R17" s="211"/>
    </row>
    <row r="18" spans="1:19">
      <c r="A18" s="210"/>
      <c r="C18" s="116" t="s">
        <v>234</v>
      </c>
      <c r="D18" s="82">
        <v>2500</v>
      </c>
      <c r="O18" s="211"/>
      <c r="P18" s="211"/>
      <c r="Q18" s="211"/>
      <c r="R18" s="211"/>
    </row>
    <row r="19" spans="1:19">
      <c r="A19" s="210"/>
      <c r="C19" s="102" t="s">
        <v>54</v>
      </c>
      <c r="D19" s="117">
        <v>200000</v>
      </c>
      <c r="O19" s="211"/>
      <c r="P19" s="211"/>
      <c r="Q19" s="211"/>
      <c r="R19" s="211"/>
    </row>
    <row r="20" spans="1:19">
      <c r="A20" s="210"/>
      <c r="C20" s="116" t="s">
        <v>268</v>
      </c>
      <c r="D20" s="98">
        <f>PI()*D17^2/4*D19/D18</f>
        <v>20357.520395261861</v>
      </c>
      <c r="O20" s="211"/>
      <c r="P20" s="211"/>
      <c r="Q20" s="211"/>
      <c r="R20" s="211"/>
    </row>
    <row r="21" spans="1:19" ht="16" thickBot="1">
      <c r="A21" s="210"/>
      <c r="C21" s="102" t="s">
        <v>320</v>
      </c>
      <c r="D21" s="82">
        <v>3</v>
      </c>
      <c r="O21" s="211"/>
      <c r="P21" s="211"/>
      <c r="Q21" s="211"/>
      <c r="R21" s="211"/>
    </row>
    <row r="22" spans="1:19" ht="16" thickBot="1">
      <c r="A22" s="363" t="s">
        <v>380</v>
      </c>
      <c r="B22" s="364"/>
      <c r="C22" s="364"/>
      <c r="D22" s="364"/>
      <c r="E22" s="364"/>
      <c r="F22" s="364"/>
      <c r="G22" s="364"/>
      <c r="H22" s="364"/>
      <c r="I22" s="364"/>
      <c r="J22" s="364"/>
      <c r="K22" s="364"/>
      <c r="L22" s="364"/>
      <c r="M22" s="365"/>
      <c r="O22" s="211"/>
      <c r="P22" s="211"/>
      <c r="Q22" s="211"/>
      <c r="R22" s="211"/>
    </row>
    <row r="23" spans="1:19" ht="30">
      <c r="A23" s="274" t="s">
        <v>381</v>
      </c>
      <c r="B23" s="107"/>
      <c r="C23" s="218" t="s">
        <v>265</v>
      </c>
      <c r="O23" s="211"/>
      <c r="P23" s="211"/>
      <c r="Q23" s="211"/>
      <c r="R23" s="211"/>
    </row>
    <row r="24" spans="1:19">
      <c r="A24" s="102" t="s">
        <v>3</v>
      </c>
      <c r="B24" s="107"/>
      <c r="C24" s="154"/>
      <c r="O24" s="211"/>
      <c r="P24" s="211"/>
      <c r="Q24" s="211"/>
      <c r="R24" s="211"/>
    </row>
    <row r="25" spans="1:19">
      <c r="A25" s="219" t="s">
        <v>117</v>
      </c>
      <c r="B25" s="152">
        <f>SUM(H35:S35)+C25</f>
        <v>6785.8401317539538</v>
      </c>
      <c r="C25" s="238">
        <f>D20/D21</f>
        <v>6785.8401317539538</v>
      </c>
      <c r="O25" s="211"/>
      <c r="P25" s="211"/>
      <c r="Q25" s="211"/>
      <c r="R25" s="211"/>
    </row>
    <row r="26" spans="1:19">
      <c r="A26" s="219" t="s">
        <v>118</v>
      </c>
      <c r="B26" s="152">
        <f>SUM(H36:S36)+C26</f>
        <v>2588000</v>
      </c>
      <c r="C26" s="220">
        <v>0</v>
      </c>
      <c r="G26" s="244" t="s">
        <v>185</v>
      </c>
      <c r="O26" s="211"/>
      <c r="P26" s="211"/>
      <c r="Q26" s="211"/>
      <c r="R26" s="211"/>
    </row>
    <row r="27" spans="1:19">
      <c r="A27" s="219" t="s">
        <v>119</v>
      </c>
      <c r="B27" s="152">
        <f>SUM(H37:S37)+C27</f>
        <v>2588000</v>
      </c>
      <c r="C27" s="220">
        <v>0</v>
      </c>
      <c r="G27" s="82" t="s">
        <v>124</v>
      </c>
      <c r="O27" s="211"/>
      <c r="P27" s="211"/>
      <c r="Q27" s="211"/>
      <c r="R27" s="211"/>
    </row>
    <row r="28" spans="1:19">
      <c r="A28" s="102" t="s">
        <v>115</v>
      </c>
      <c r="B28" s="107"/>
      <c r="C28" s="200"/>
      <c r="D28" s="87"/>
      <c r="E28" s="87"/>
      <c r="F28" s="87"/>
      <c r="G28" s="214" t="s">
        <v>133</v>
      </c>
      <c r="H28" s="215">
        <v>4</v>
      </c>
      <c r="O28" s="211"/>
      <c r="P28" s="211"/>
      <c r="Q28" s="211"/>
      <c r="R28" s="211"/>
    </row>
    <row r="29" spans="1:19">
      <c r="A29" s="219" t="s">
        <v>8</v>
      </c>
      <c r="B29" s="152">
        <f>SUM(H39:S39)+SUM(H43:S43)+C29</f>
        <v>6874375000</v>
      </c>
      <c r="C29" s="220">
        <v>0</v>
      </c>
      <c r="D29" s="87"/>
      <c r="E29" s="87"/>
      <c r="F29" s="87"/>
      <c r="H29" s="347" t="s">
        <v>129</v>
      </c>
      <c r="I29" s="347"/>
      <c r="J29" s="347"/>
      <c r="K29" s="347"/>
      <c r="L29" s="347"/>
      <c r="M29" s="347"/>
      <c r="N29" s="347"/>
      <c r="O29" s="347"/>
      <c r="P29" s="347"/>
      <c r="Q29" s="347"/>
      <c r="R29" s="347"/>
      <c r="S29" s="347"/>
    </row>
    <row r="30" spans="1:19">
      <c r="A30" s="219" t="s">
        <v>120</v>
      </c>
      <c r="B30" s="152">
        <f>SUM(H40:S40)+SUM(H44:S44)+C30</f>
        <v>6604791666.666667</v>
      </c>
      <c r="C30" s="220">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19" t="s">
        <v>116</v>
      </c>
      <c r="B31" s="152">
        <f>SUM(H41:S41)+SUM(H45:S45)+C31</f>
        <v>6604791666.666667</v>
      </c>
      <c r="C31" s="220">
        <v>0</v>
      </c>
      <c r="D31" s="87"/>
      <c r="E31" s="87"/>
      <c r="F31" s="87"/>
      <c r="G31" s="102" t="s">
        <v>42</v>
      </c>
      <c r="H31" s="215">
        <v>50</v>
      </c>
      <c r="I31" s="215">
        <v>-50</v>
      </c>
      <c r="J31" s="215">
        <v>-50</v>
      </c>
      <c r="K31" s="215">
        <v>50</v>
      </c>
      <c r="L31" s="215">
        <v>0</v>
      </c>
      <c r="M31" s="215">
        <v>0</v>
      </c>
      <c r="N31" s="215">
        <v>0</v>
      </c>
      <c r="O31" s="215">
        <v>0</v>
      </c>
      <c r="P31" s="215">
        <v>0</v>
      </c>
      <c r="Q31" s="215">
        <v>0</v>
      </c>
      <c r="R31" s="215">
        <v>0</v>
      </c>
      <c r="S31" s="215">
        <v>0</v>
      </c>
    </row>
    <row r="32" spans="1:19">
      <c r="A32" s="348" t="s">
        <v>190</v>
      </c>
      <c r="B32" s="348"/>
      <c r="C32" s="348"/>
      <c r="D32" s="87"/>
      <c r="E32" s="87"/>
      <c r="F32" s="87"/>
      <c r="G32" s="102" t="s">
        <v>43</v>
      </c>
      <c r="H32" s="215">
        <v>0</v>
      </c>
      <c r="I32" s="215">
        <v>0</v>
      </c>
      <c r="J32" s="215">
        <v>0</v>
      </c>
      <c r="K32" s="215">
        <v>0</v>
      </c>
      <c r="L32" s="215">
        <v>0</v>
      </c>
      <c r="M32" s="215">
        <v>0</v>
      </c>
      <c r="N32" s="215">
        <v>0</v>
      </c>
      <c r="O32" s="215">
        <v>0</v>
      </c>
      <c r="P32" s="215">
        <v>0</v>
      </c>
      <c r="Q32" s="215">
        <v>0</v>
      </c>
      <c r="R32" s="215">
        <v>0</v>
      </c>
      <c r="S32" s="215">
        <v>0</v>
      </c>
    </row>
    <row r="33" spans="1:19">
      <c r="A33" s="348"/>
      <c r="B33" s="348"/>
      <c r="C33" s="348"/>
      <c r="D33" s="87"/>
      <c r="E33" s="87"/>
      <c r="F33" s="87"/>
      <c r="G33" s="102" t="s">
        <v>44</v>
      </c>
      <c r="H33" s="215">
        <v>50</v>
      </c>
      <c r="I33" s="215">
        <v>50</v>
      </c>
      <c r="J33" s="215">
        <v>-50</v>
      </c>
      <c r="K33" s="215">
        <v>-50</v>
      </c>
      <c r="L33" s="215">
        <v>0</v>
      </c>
      <c r="M33" s="215">
        <v>0</v>
      </c>
      <c r="N33" s="215">
        <v>0</v>
      </c>
      <c r="O33" s="215">
        <v>0</v>
      </c>
      <c r="P33" s="215">
        <v>0</v>
      </c>
      <c r="Q33" s="215">
        <v>0</v>
      </c>
      <c r="R33" s="215">
        <v>0</v>
      </c>
      <c r="S33" s="215">
        <v>0</v>
      </c>
    </row>
    <row r="34" spans="1:19">
      <c r="A34" s="348"/>
      <c r="B34" s="348"/>
      <c r="C34" s="348"/>
      <c r="G34" s="82" t="s">
        <v>130</v>
      </c>
      <c r="H34" s="349"/>
      <c r="I34" s="349"/>
      <c r="J34" s="349"/>
      <c r="K34" s="349"/>
    </row>
    <row r="35" spans="1:19">
      <c r="A35" s="222" t="s">
        <v>186</v>
      </c>
      <c r="B35" s="215"/>
      <c r="C35" s="215"/>
      <c r="D35" s="87"/>
      <c r="E35" s="87"/>
      <c r="F35" s="87"/>
      <c r="G35" s="102" t="s">
        <v>117</v>
      </c>
      <c r="H35" s="142">
        <v>0</v>
      </c>
      <c r="I35" s="142">
        <v>0</v>
      </c>
      <c r="J35" s="142">
        <v>0</v>
      </c>
      <c r="K35" s="142">
        <v>0</v>
      </c>
      <c r="L35" s="215">
        <v>0</v>
      </c>
      <c r="M35" s="215">
        <v>0</v>
      </c>
      <c r="N35" s="215">
        <v>0</v>
      </c>
      <c r="O35" s="215">
        <v>0</v>
      </c>
      <c r="P35" s="215">
        <v>0</v>
      </c>
      <c r="Q35" s="215">
        <v>0</v>
      </c>
      <c r="R35" s="215">
        <v>0</v>
      </c>
      <c r="S35" s="215">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5">
        <v>0</v>
      </c>
      <c r="M36" s="215">
        <v>0</v>
      </c>
      <c r="N36" s="215">
        <v>0</v>
      </c>
      <c r="O36" s="215">
        <v>0</v>
      </c>
      <c r="P36" s="215">
        <v>0</v>
      </c>
      <c r="Q36" s="215">
        <v>0</v>
      </c>
      <c r="R36" s="215">
        <v>0</v>
      </c>
      <c r="S36" s="215">
        <v>0</v>
      </c>
    </row>
    <row r="37" spans="1:19">
      <c r="A37" s="102" t="s">
        <v>187</v>
      </c>
      <c r="B37" s="215">
        <v>0</v>
      </c>
      <c r="D37" s="87"/>
      <c r="E37" s="87"/>
      <c r="F37" s="87"/>
      <c r="G37" s="102" t="s">
        <v>119</v>
      </c>
      <c r="H37" s="142">
        <f>H36</f>
        <v>647000</v>
      </c>
      <c r="I37" s="142">
        <f t="shared" ref="I37:K37" si="2">I36</f>
        <v>647000</v>
      </c>
      <c r="J37" s="142">
        <f t="shared" si="2"/>
        <v>647000</v>
      </c>
      <c r="K37" s="142">
        <f t="shared" si="2"/>
        <v>647000</v>
      </c>
      <c r="L37" s="215">
        <v>0</v>
      </c>
      <c r="M37" s="215">
        <v>0</v>
      </c>
      <c r="N37" s="215">
        <v>0</v>
      </c>
      <c r="O37" s="215">
        <v>0</v>
      </c>
      <c r="P37" s="215">
        <v>0</v>
      </c>
      <c r="Q37" s="215">
        <v>0</v>
      </c>
      <c r="R37" s="215">
        <v>0</v>
      </c>
      <c r="S37" s="215">
        <v>0</v>
      </c>
    </row>
    <row r="38" spans="1:19">
      <c r="A38" s="102" t="s">
        <v>188</v>
      </c>
      <c r="B38" s="215">
        <v>0</v>
      </c>
      <c r="D38" s="87"/>
      <c r="E38" s="87"/>
      <c r="F38" s="87"/>
      <c r="G38" s="82" t="s">
        <v>131</v>
      </c>
      <c r="H38" s="349"/>
      <c r="I38" s="349"/>
      <c r="J38" s="349"/>
      <c r="K38" s="349"/>
    </row>
    <row r="39" spans="1:19">
      <c r="A39" s="102" t="s">
        <v>189</v>
      </c>
      <c r="B39" s="215">
        <v>0</v>
      </c>
      <c r="D39" s="87"/>
      <c r="E39" s="87"/>
      <c r="F39" s="87"/>
      <c r="G39" s="102" t="s">
        <v>8</v>
      </c>
      <c r="H39" s="142">
        <f>'ref bearings, servo, structure'!B10</f>
        <v>101093750</v>
      </c>
      <c r="I39" s="142">
        <f>H39</f>
        <v>101093750</v>
      </c>
      <c r="J39" s="142">
        <f t="shared" ref="J39:K39" si="3">I39</f>
        <v>101093750</v>
      </c>
      <c r="K39" s="142">
        <f t="shared" si="3"/>
        <v>101093750</v>
      </c>
      <c r="L39" s="215">
        <v>0</v>
      </c>
      <c r="M39" s="215">
        <v>0</v>
      </c>
      <c r="N39" s="215">
        <v>0</v>
      </c>
      <c r="O39" s="215">
        <v>0</v>
      </c>
      <c r="P39" s="215">
        <v>0</v>
      </c>
      <c r="Q39" s="215">
        <v>0</v>
      </c>
      <c r="R39" s="215">
        <v>0</v>
      </c>
      <c r="S39" s="215">
        <v>0</v>
      </c>
    </row>
    <row r="40" spans="1:19">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5">
        <v>0</v>
      </c>
      <c r="M40" s="215">
        <v>0</v>
      </c>
      <c r="N40" s="215">
        <v>0</v>
      </c>
      <c r="O40" s="215">
        <v>0</v>
      </c>
      <c r="P40" s="215">
        <v>0</v>
      </c>
      <c r="Q40" s="215">
        <v>0</v>
      </c>
      <c r="R40" s="215">
        <v>0</v>
      </c>
      <c r="S40" s="215">
        <v>0</v>
      </c>
    </row>
    <row r="41" spans="1:19">
      <c r="A41" s="102" t="s">
        <v>187</v>
      </c>
      <c r="B41" s="215">
        <v>0</v>
      </c>
      <c r="G41" s="102" t="s">
        <v>116</v>
      </c>
      <c r="H41" s="142">
        <f>'ref bearings, servo, structure'!B11</f>
        <v>33697916.666666664</v>
      </c>
      <c r="I41" s="142">
        <f t="shared" si="4"/>
        <v>33697916.666666664</v>
      </c>
      <c r="J41" s="142">
        <f t="shared" si="4"/>
        <v>33697916.666666664</v>
      </c>
      <c r="K41" s="142">
        <f t="shared" si="4"/>
        <v>33697916.666666664</v>
      </c>
      <c r="L41" s="215">
        <v>0</v>
      </c>
      <c r="M41" s="215">
        <v>0</v>
      </c>
      <c r="N41" s="215">
        <v>0</v>
      </c>
      <c r="O41" s="215">
        <v>0</v>
      </c>
      <c r="P41" s="215">
        <v>0</v>
      </c>
      <c r="Q41" s="215">
        <v>0</v>
      </c>
      <c r="R41" s="215">
        <v>0</v>
      </c>
      <c r="S41" s="215">
        <v>0</v>
      </c>
    </row>
    <row r="42" spans="1:19">
      <c r="A42" s="102" t="s">
        <v>188</v>
      </c>
      <c r="B42" s="215">
        <v>0</v>
      </c>
      <c r="D42" s="218"/>
      <c r="E42" s="218"/>
      <c r="F42" s="218"/>
      <c r="G42" s="82" t="s">
        <v>125</v>
      </c>
    </row>
    <row r="43" spans="1:19">
      <c r="A43" s="102" t="s">
        <v>189</v>
      </c>
      <c r="B43" s="215">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6" t="s">
        <v>207</v>
      </c>
      <c r="D44" s="220"/>
      <c r="E44" s="220"/>
      <c r="F44" s="220"/>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0"/>
      <c r="E45" s="220"/>
      <c r="F45" s="220"/>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0"/>
      <c r="E46" s="220"/>
      <c r="F46" s="220"/>
      <c r="G46" s="82" t="s">
        <v>307</v>
      </c>
    </row>
    <row r="47" spans="1:19">
      <c r="A47" s="102" t="s">
        <v>123</v>
      </c>
      <c r="B47" s="105">
        <f t="shared" si="8"/>
        <v>5.0000000000000001E-3</v>
      </c>
      <c r="C47" s="87"/>
      <c r="D47" s="200"/>
      <c r="E47" s="200"/>
      <c r="F47" s="200"/>
      <c r="G47" s="102" t="s">
        <v>121</v>
      </c>
      <c r="H47" s="215">
        <f t="shared" ref="H47:K49" si="9">0.005</f>
        <v>5.0000000000000001E-3</v>
      </c>
      <c r="I47" s="215">
        <f t="shared" si="9"/>
        <v>5.0000000000000001E-3</v>
      </c>
      <c r="J47" s="215">
        <f t="shared" si="9"/>
        <v>5.0000000000000001E-3</v>
      </c>
      <c r="K47" s="215">
        <f t="shared" si="9"/>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1.0000000000000007E-4</v>
      </c>
      <c r="C48" s="87"/>
      <c r="D48" s="220"/>
      <c r="E48" s="220"/>
      <c r="F48" s="220"/>
      <c r="G48" s="102" t="s">
        <v>122</v>
      </c>
      <c r="H48" s="215">
        <f t="shared" si="9"/>
        <v>5.0000000000000001E-3</v>
      </c>
      <c r="I48" s="215">
        <f t="shared" si="9"/>
        <v>5.0000000000000001E-3</v>
      </c>
      <c r="J48" s="215">
        <f t="shared" si="9"/>
        <v>5.0000000000000001E-3</v>
      </c>
      <c r="K48" s="215">
        <f t="shared" si="9"/>
        <v>5.0000000000000001E-3</v>
      </c>
      <c r="L48" s="215">
        <v>0</v>
      </c>
      <c r="M48" s="215">
        <v>0</v>
      </c>
      <c r="N48" s="215">
        <v>0</v>
      </c>
      <c r="O48" s="215">
        <v>0</v>
      </c>
      <c r="P48" s="215">
        <v>0</v>
      </c>
      <c r="Q48" s="215">
        <v>0</v>
      </c>
      <c r="R48" s="215">
        <v>0</v>
      </c>
      <c r="S48" s="215">
        <v>0</v>
      </c>
    </row>
    <row r="49" spans="1:20">
      <c r="A49" s="102" t="s">
        <v>86</v>
      </c>
      <c r="B49" s="105">
        <f>SQRT((H52^2+I52^2+J52^2+K52^2+L52^2+M52^2+N52^2+O52^2+P52^2+Q52^2+R52^2+S52^2+B38^2)/H$28)</f>
        <v>9.9999999000000077E-5</v>
      </c>
      <c r="C49" s="87"/>
      <c r="D49" s="220"/>
      <c r="E49" s="220"/>
      <c r="F49" s="220"/>
      <c r="G49" s="102" t="s">
        <v>123</v>
      </c>
      <c r="H49" s="215">
        <f t="shared" si="9"/>
        <v>5.0000000000000001E-3</v>
      </c>
      <c r="I49" s="215">
        <f t="shared" si="9"/>
        <v>5.0000000000000001E-3</v>
      </c>
      <c r="J49" s="215">
        <f t="shared" si="9"/>
        <v>5.0000000000000001E-3</v>
      </c>
      <c r="K49" s="215">
        <f t="shared" si="9"/>
        <v>5.0000000000000001E-3</v>
      </c>
      <c r="L49" s="215">
        <v>0</v>
      </c>
      <c r="M49" s="215">
        <v>0</v>
      </c>
      <c r="N49" s="215">
        <v>0</v>
      </c>
      <c r="O49" s="215">
        <v>0</v>
      </c>
      <c r="P49" s="215">
        <v>0</v>
      </c>
      <c r="Q49" s="215">
        <v>0</v>
      </c>
      <c r="R49" s="215">
        <v>0</v>
      </c>
      <c r="S49" s="215">
        <v>0</v>
      </c>
    </row>
    <row r="50" spans="1:20">
      <c r="A50" s="102" t="s">
        <v>87</v>
      </c>
      <c r="B50" s="105">
        <f>SQRT((H53^2+I53^2+J53^2+K53^2+L53^2+M53^2+N53^2+O53^2+P53^2+Q53^2+R53^2+S53^2+B39^2)/H$28)</f>
        <v>1.0000000000000007E-4</v>
      </c>
      <c r="C50" s="87"/>
      <c r="D50" s="220"/>
      <c r="E50" s="220"/>
      <c r="F50" s="220"/>
      <c r="G50" s="82" t="s">
        <v>252</v>
      </c>
    </row>
    <row r="51" spans="1:20" ht="45">
      <c r="A51" s="217" t="s">
        <v>208</v>
      </c>
      <c r="B51" s="107"/>
      <c r="D51" s="221"/>
      <c r="E51" s="221"/>
      <c r="F51" s="221"/>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c r="A52" s="102" t="s">
        <v>121</v>
      </c>
      <c r="B52" s="105">
        <f>SQRT((H55^2+I55^2+J55^2+K55^2+L55^2+M55^2+N55^2+O55^2+P55^2+Q55^2+R55^2+S55^2)/H$28)</f>
        <v>0</v>
      </c>
      <c r="C52" s="87"/>
      <c r="D52" s="221"/>
      <c r="E52" s="221"/>
      <c r="F52" s="221"/>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c r="A53" s="102" t="s">
        <v>122</v>
      </c>
      <c r="B53" s="105">
        <f t="shared" ref="B53:B54" si="12">SQRT((H56^2+I56^2+J56^2+K56^2+L56^2+M56^2+N56^2+O56^2+P56^2+Q56^2+R56^2+S56^2)/H$28)</f>
        <v>0</v>
      </c>
      <c r="C53" s="87"/>
      <c r="D53" s="221"/>
      <c r="E53" s="221"/>
      <c r="F53" s="221"/>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c r="A54" s="102" t="s">
        <v>123</v>
      </c>
      <c r="B54" s="105">
        <f t="shared" si="12"/>
        <v>0</v>
      </c>
      <c r="C54" s="87"/>
      <c r="D54" s="215"/>
      <c r="E54" s="215"/>
      <c r="F54" s="215"/>
      <c r="G54" s="82" t="s">
        <v>333</v>
      </c>
    </row>
    <row r="55" spans="1:20">
      <c r="A55" s="102" t="s">
        <v>85</v>
      </c>
      <c r="B55" s="105">
        <f>SQRT((H59^2+I59^2+J59^2+K59^2+L59^2+M59^2+N59^2+O59^2+P59^2+Q59^2+R59^2+S59^2+B41^2)/H$28)</f>
        <v>0</v>
      </c>
      <c r="C55" s="87"/>
      <c r="G55" s="102" t="s">
        <v>121</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SQRT((H60^2+I60^2+J60^2+K60^2+L60^2+M60^2+N60^2+O60^2+P60^2+Q60^2+R60^2+S60^2+B42^2)/H$28)</f>
        <v>0</v>
      </c>
      <c r="C56" s="87"/>
      <c r="G56" s="102" t="s">
        <v>122</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SQRT((H61^2+I61^2+J61^2+K61^2+L61^2+M61^2+N61^2+O61^2+P61^2+Q61^2+R61^2+S61^2+B43^2)/H$28)</f>
        <v>0</v>
      </c>
      <c r="C57" s="87"/>
      <c r="G57" s="102" t="s">
        <v>123</v>
      </c>
      <c r="H57" s="215">
        <v>0</v>
      </c>
      <c r="I57" s="215">
        <v>0</v>
      </c>
      <c r="J57" s="215">
        <v>0</v>
      </c>
      <c r="K57" s="215">
        <v>0</v>
      </c>
      <c r="L57" s="215">
        <v>0</v>
      </c>
      <c r="M57" s="215">
        <v>0</v>
      </c>
      <c r="N57" s="215">
        <v>0</v>
      </c>
      <c r="O57" s="215">
        <v>0</v>
      </c>
      <c r="P57" s="215">
        <v>0</v>
      </c>
      <c r="Q57" s="215">
        <v>0</v>
      </c>
      <c r="R57" s="215">
        <v>0</v>
      </c>
      <c r="S57" s="215">
        <v>0</v>
      </c>
    </row>
    <row r="58" spans="1:20">
      <c r="B58" s="107"/>
      <c r="G58" s="82" t="s">
        <v>253</v>
      </c>
    </row>
    <row r="59" spans="1:20">
      <c r="G59" s="102" t="s">
        <v>85</v>
      </c>
      <c r="H59" s="223">
        <f>H113</f>
        <v>0</v>
      </c>
      <c r="I59" s="223">
        <f t="shared" ref="I59:S59" si="14">I113</f>
        <v>0</v>
      </c>
      <c r="J59" s="223">
        <f t="shared" si="14"/>
        <v>0</v>
      </c>
      <c r="K59" s="223">
        <f t="shared" si="14"/>
        <v>0</v>
      </c>
      <c r="L59" s="223">
        <f t="shared" si="14"/>
        <v>0</v>
      </c>
      <c r="M59" s="223">
        <f t="shared" si="14"/>
        <v>0</v>
      </c>
      <c r="N59" s="223">
        <f t="shared" si="14"/>
        <v>0</v>
      </c>
      <c r="O59" s="223">
        <f t="shared" si="14"/>
        <v>0</v>
      </c>
      <c r="P59" s="223">
        <f t="shared" si="14"/>
        <v>0</v>
      </c>
      <c r="Q59" s="223">
        <f t="shared" si="14"/>
        <v>0</v>
      </c>
      <c r="R59" s="223">
        <f t="shared" si="14"/>
        <v>0</v>
      </c>
      <c r="S59" s="223">
        <f t="shared" si="14"/>
        <v>0</v>
      </c>
    </row>
    <row r="60" spans="1:20">
      <c r="G60" s="102" t="s">
        <v>86</v>
      </c>
      <c r="H60" s="223">
        <f>H118</f>
        <v>0</v>
      </c>
      <c r="I60" s="223">
        <f t="shared" ref="I60:S60" si="15">I118</f>
        <v>0</v>
      </c>
      <c r="J60" s="223">
        <f t="shared" si="15"/>
        <v>0</v>
      </c>
      <c r="K60" s="223">
        <f t="shared" si="15"/>
        <v>0</v>
      </c>
      <c r="L60" s="223">
        <f t="shared" si="15"/>
        <v>0</v>
      </c>
      <c r="M60" s="223">
        <f t="shared" si="15"/>
        <v>0</v>
      </c>
      <c r="N60" s="223">
        <f t="shared" si="15"/>
        <v>0</v>
      </c>
      <c r="O60" s="223">
        <f t="shared" si="15"/>
        <v>0</v>
      </c>
      <c r="P60" s="223">
        <f t="shared" si="15"/>
        <v>0</v>
      </c>
      <c r="Q60" s="223">
        <f t="shared" si="15"/>
        <v>0</v>
      </c>
      <c r="R60" s="223">
        <f t="shared" si="15"/>
        <v>0</v>
      </c>
      <c r="S60" s="223">
        <f t="shared" si="15"/>
        <v>0</v>
      </c>
    </row>
    <row r="61" spans="1:20">
      <c r="G61" s="102" t="s">
        <v>87</v>
      </c>
      <c r="H61" s="223">
        <f>H123</f>
        <v>0</v>
      </c>
      <c r="I61" s="223">
        <f t="shared" ref="I61:S61" si="16">I123</f>
        <v>0</v>
      </c>
      <c r="J61" s="223">
        <f t="shared" si="16"/>
        <v>0</v>
      </c>
      <c r="K61" s="223">
        <f t="shared" si="16"/>
        <v>0</v>
      </c>
      <c r="L61" s="223">
        <f t="shared" si="16"/>
        <v>0</v>
      </c>
      <c r="M61" s="223">
        <f t="shared" si="16"/>
        <v>0</v>
      </c>
      <c r="N61" s="223">
        <f t="shared" si="16"/>
        <v>0</v>
      </c>
      <c r="O61" s="223">
        <f t="shared" si="16"/>
        <v>0</v>
      </c>
      <c r="P61" s="223">
        <f t="shared" si="16"/>
        <v>0</v>
      </c>
      <c r="Q61" s="223">
        <f t="shared" si="16"/>
        <v>0</v>
      </c>
      <c r="R61" s="223">
        <f t="shared" si="16"/>
        <v>0</v>
      </c>
      <c r="S61" s="223">
        <f t="shared" si="16"/>
        <v>0</v>
      </c>
    </row>
    <row r="62" spans="1:20">
      <c r="G62" s="216"/>
    </row>
    <row r="63" spans="1:20">
      <c r="I63" s="118"/>
      <c r="J63" s="118"/>
      <c r="K63" s="118"/>
      <c r="L63" s="118"/>
      <c r="M63" s="118"/>
      <c r="N63" s="118"/>
    </row>
    <row r="64" spans="1:20">
      <c r="G64" s="119"/>
      <c r="H64" s="326"/>
      <c r="I64" s="224"/>
      <c r="J64" s="224"/>
      <c r="K64" s="224"/>
      <c r="L64" s="224"/>
      <c r="M64" s="224"/>
      <c r="N64" s="224"/>
      <c r="O64" s="118"/>
    </row>
    <row r="65" spans="1:15">
      <c r="G65" s="119"/>
      <c r="H65" s="326"/>
      <c r="I65" s="224"/>
      <c r="J65" s="224"/>
      <c r="K65" s="224"/>
      <c r="L65" s="224"/>
      <c r="M65" s="224"/>
      <c r="N65" s="224"/>
      <c r="O65" s="118"/>
    </row>
    <row r="66" spans="1:15">
      <c r="G66" s="119"/>
      <c r="H66" s="326"/>
      <c r="I66" s="224"/>
      <c r="J66" s="224"/>
      <c r="K66" s="224"/>
      <c r="L66" s="224"/>
      <c r="M66" s="224"/>
      <c r="N66" s="224"/>
      <c r="O66" s="118"/>
    </row>
    <row r="67" spans="1:15">
      <c r="G67" s="119"/>
      <c r="H67" s="326"/>
      <c r="I67" s="224"/>
      <c r="J67" s="224"/>
      <c r="K67" s="224"/>
      <c r="L67" s="224"/>
      <c r="M67" s="224"/>
      <c r="N67" s="224"/>
      <c r="O67" s="118"/>
    </row>
    <row r="68" spans="1:15">
      <c r="G68" s="119"/>
      <c r="H68" s="326"/>
      <c r="I68" s="224"/>
      <c r="J68" s="224"/>
      <c r="K68" s="224"/>
      <c r="L68" s="224"/>
      <c r="M68" s="224"/>
      <c r="N68" s="224"/>
      <c r="O68" s="118"/>
    </row>
    <row r="69" spans="1:15">
      <c r="G69" s="119"/>
      <c r="H69" s="326"/>
      <c r="I69" s="224"/>
      <c r="J69" s="224"/>
      <c r="K69" s="224"/>
      <c r="L69" s="224"/>
      <c r="M69" s="224"/>
      <c r="N69" s="224"/>
      <c r="O69" s="118"/>
    </row>
    <row r="70" spans="1:15">
      <c r="G70" s="119"/>
      <c r="H70" s="195"/>
      <c r="I70" s="224"/>
      <c r="J70" s="224"/>
      <c r="K70" s="224"/>
      <c r="L70" s="224"/>
      <c r="M70" s="224"/>
      <c r="N70" s="224"/>
      <c r="O70" s="118"/>
    </row>
    <row r="71" spans="1:15">
      <c r="G71" s="119"/>
      <c r="H71" s="195"/>
      <c r="I71" s="224"/>
      <c r="J71" s="224"/>
      <c r="K71" s="224"/>
      <c r="L71" s="224"/>
      <c r="M71" s="224"/>
      <c r="N71" s="224"/>
      <c r="O71" s="118"/>
    </row>
    <row r="72" spans="1:15">
      <c r="G72" s="119"/>
      <c r="H72" s="195"/>
      <c r="I72" s="224"/>
      <c r="J72" s="224"/>
      <c r="K72" s="224"/>
      <c r="L72" s="224"/>
      <c r="M72" s="224"/>
      <c r="N72" s="224"/>
      <c r="O72" s="118"/>
    </row>
    <row r="73" spans="1:15">
      <c r="G73" s="119"/>
      <c r="H73" s="195"/>
      <c r="I73" s="224"/>
      <c r="J73" s="224"/>
      <c r="K73" s="224"/>
      <c r="L73" s="224"/>
      <c r="M73" s="224"/>
      <c r="N73" s="224"/>
      <c r="O73" s="118"/>
    </row>
    <row r="74" spans="1:15">
      <c r="G74" s="119"/>
      <c r="H74" s="195"/>
      <c r="I74" s="224"/>
      <c r="J74" s="224"/>
      <c r="K74" s="224"/>
      <c r="L74" s="224"/>
      <c r="M74" s="224"/>
      <c r="N74" s="224"/>
      <c r="O74" s="118"/>
    </row>
    <row r="75" spans="1:15">
      <c r="G75" s="119"/>
      <c r="H75" s="195"/>
      <c r="I75" s="224"/>
      <c r="J75" s="224"/>
      <c r="K75" s="224"/>
      <c r="L75" s="224"/>
      <c r="M75" s="224"/>
      <c r="N75" s="224"/>
      <c r="O75" s="118"/>
    </row>
    <row r="76" spans="1:15">
      <c r="G76" s="119"/>
      <c r="H76" s="195"/>
      <c r="I76" s="224"/>
      <c r="J76" s="224"/>
      <c r="K76" s="224"/>
      <c r="L76" s="224"/>
      <c r="M76" s="224"/>
      <c r="N76" s="224"/>
      <c r="O76" s="118"/>
    </row>
    <row r="77" spans="1:15">
      <c r="G77" s="119"/>
      <c r="H77" s="195"/>
      <c r="I77" s="224"/>
      <c r="J77" s="224"/>
      <c r="K77" s="224"/>
      <c r="L77" s="224"/>
      <c r="M77" s="224"/>
      <c r="N77" s="224"/>
      <c r="O77" s="118"/>
    </row>
    <row r="78" spans="1:15">
      <c r="G78" s="119"/>
      <c r="H78" s="195"/>
      <c r="I78" s="224"/>
      <c r="J78" s="224"/>
      <c r="K78" s="224"/>
      <c r="L78" s="224"/>
      <c r="M78" s="224"/>
      <c r="N78" s="224"/>
      <c r="O78" s="118"/>
    </row>
    <row r="79" spans="1:15">
      <c r="G79" s="119"/>
      <c r="H79" s="195"/>
      <c r="I79" s="224"/>
      <c r="J79" s="224"/>
      <c r="K79" s="224"/>
      <c r="L79" s="224"/>
      <c r="M79" s="224"/>
      <c r="N79" s="224"/>
      <c r="O79" s="118"/>
    </row>
    <row r="80" spans="1:15">
      <c r="A80" s="102"/>
      <c r="B80" s="211"/>
      <c r="G80" s="119"/>
      <c r="H80" s="195"/>
      <c r="I80" s="224"/>
      <c r="J80" s="224"/>
      <c r="K80" s="224"/>
      <c r="L80" s="224"/>
      <c r="M80" s="224"/>
      <c r="N80" s="224"/>
      <c r="O80" s="118"/>
    </row>
    <row r="81" spans="1:19">
      <c r="A81" s="102"/>
      <c r="B81" s="211"/>
      <c r="G81" s="119"/>
      <c r="H81" s="195"/>
      <c r="I81" s="224"/>
      <c r="J81" s="224"/>
      <c r="K81" s="224"/>
      <c r="L81" s="224"/>
      <c r="M81" s="224"/>
      <c r="N81" s="224"/>
      <c r="O81" s="118"/>
    </row>
    <row r="82" spans="1:19">
      <c r="A82" s="102"/>
      <c r="B82" s="211"/>
      <c r="G82" s="119"/>
      <c r="H82" s="195"/>
      <c r="I82" s="224"/>
      <c r="J82" s="224"/>
      <c r="K82" s="224"/>
      <c r="L82" s="224"/>
      <c r="M82" s="224"/>
      <c r="N82" s="224"/>
      <c r="O82" s="118"/>
    </row>
    <row r="83" spans="1:19">
      <c r="A83" s="102"/>
      <c r="B83" s="211"/>
      <c r="G83" s="119"/>
      <c r="H83" s="195"/>
      <c r="I83" s="224"/>
      <c r="J83" s="224"/>
      <c r="K83" s="224"/>
      <c r="L83" s="224"/>
      <c r="M83" s="224"/>
      <c r="N83" s="224"/>
      <c r="O83" s="118"/>
    </row>
    <row r="84" spans="1:19">
      <c r="A84" s="102"/>
      <c r="B84" s="211"/>
      <c r="G84" s="119"/>
      <c r="H84" s="195"/>
      <c r="I84" s="224"/>
      <c r="J84" s="224"/>
      <c r="K84" s="224"/>
      <c r="L84" s="224"/>
      <c r="M84" s="224"/>
      <c r="N84" s="224"/>
      <c r="O84" s="118"/>
    </row>
    <row r="85" spans="1:19">
      <c r="A85" s="102"/>
      <c r="B85" s="211"/>
      <c r="G85" s="119"/>
      <c r="H85" s="195"/>
      <c r="I85" s="224"/>
      <c r="J85" s="224"/>
      <c r="K85" s="224"/>
      <c r="L85" s="224"/>
      <c r="M85" s="224"/>
      <c r="N85" s="224"/>
      <c r="O85" s="118"/>
    </row>
    <row r="86" spans="1:19">
      <c r="A86" s="102"/>
      <c r="B86" s="211"/>
      <c r="G86" s="119"/>
      <c r="H86" s="195"/>
      <c r="I86" s="224"/>
      <c r="J86" s="224"/>
      <c r="K86" s="224"/>
      <c r="L86" s="224"/>
      <c r="M86" s="224"/>
      <c r="N86" s="224"/>
      <c r="O86" s="118"/>
    </row>
    <row r="87" spans="1:19">
      <c r="A87" s="102"/>
      <c r="B87" s="211"/>
      <c r="G87" s="119"/>
      <c r="H87" s="195"/>
      <c r="I87" s="224"/>
      <c r="J87" s="224"/>
      <c r="K87" s="224"/>
      <c r="L87" s="224"/>
      <c r="M87" s="224"/>
      <c r="N87" s="224"/>
      <c r="O87" s="118"/>
    </row>
    <row r="88" spans="1:19">
      <c r="A88" s="102"/>
      <c r="B88" s="211"/>
      <c r="G88" s="119"/>
      <c r="H88" s="195"/>
      <c r="I88" s="224"/>
      <c r="J88" s="224"/>
      <c r="K88" s="224"/>
      <c r="L88" s="224"/>
      <c r="M88" s="224"/>
      <c r="N88" s="224"/>
      <c r="O88" s="118"/>
    </row>
    <row r="89" spans="1:19">
      <c r="A89" s="102"/>
      <c r="B89" s="211"/>
      <c r="G89" s="119"/>
      <c r="H89" s="195"/>
      <c r="I89" s="224"/>
      <c r="J89" s="224"/>
      <c r="K89" s="224"/>
      <c r="L89" s="224"/>
      <c r="M89" s="224"/>
      <c r="N89" s="224"/>
      <c r="O89" s="118"/>
    </row>
    <row r="90" spans="1:19">
      <c r="A90" s="102"/>
      <c r="B90" s="211"/>
      <c r="G90" s="119"/>
      <c r="H90" s="195"/>
      <c r="I90" s="224"/>
      <c r="J90" s="224"/>
      <c r="K90" s="224"/>
      <c r="L90" s="224"/>
      <c r="M90" s="224"/>
      <c r="N90" s="224"/>
      <c r="O90" s="118"/>
    </row>
    <row r="91" spans="1:19">
      <c r="A91" s="102"/>
      <c r="B91" s="211"/>
    </row>
    <row r="92" spans="1:19">
      <c r="A92" s="102"/>
      <c r="B92" s="211"/>
    </row>
    <row r="93" spans="1:19">
      <c r="A93" s="102"/>
      <c r="B93" s="211"/>
    </row>
    <row r="94" spans="1:19">
      <c r="A94" s="102"/>
      <c r="B94" s="211"/>
      <c r="G94" s="225" t="s">
        <v>260</v>
      </c>
    </row>
    <row r="95" spans="1:19">
      <c r="A95" s="102"/>
      <c r="B95" s="211"/>
      <c r="G95" s="213"/>
      <c r="H95" s="149" t="s">
        <v>261</v>
      </c>
    </row>
    <row r="96" spans="1:19">
      <c r="A96" s="102"/>
      <c r="B96" s="211"/>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1"/>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02"/>
      <c r="B98" s="211"/>
      <c r="G98" s="81" t="s">
        <v>257</v>
      </c>
      <c r="H98" s="226">
        <f>IF(MIN(H96,H97)&gt;1,0,MIN(H96,H97))</f>
        <v>9.9999998000000053E-5</v>
      </c>
      <c r="I98" s="226">
        <f t="shared" ref="I98:S98" si="19">IF(MIN(I96,I97)&gt;1,0,MIN(I96,I97))</f>
        <v>9.9999998000000053E-5</v>
      </c>
      <c r="J98" s="226">
        <f t="shared" si="19"/>
        <v>1.0000000200000004E-4</v>
      </c>
      <c r="K98" s="226">
        <f t="shared" si="19"/>
        <v>1.0000000200000004E-4</v>
      </c>
      <c r="L98" s="226">
        <f t="shared" si="19"/>
        <v>0</v>
      </c>
      <c r="M98" s="226">
        <f t="shared" si="19"/>
        <v>0</v>
      </c>
      <c r="N98" s="226">
        <f t="shared" si="19"/>
        <v>0</v>
      </c>
      <c r="O98" s="226">
        <f t="shared" si="19"/>
        <v>0</v>
      </c>
      <c r="P98" s="226">
        <f t="shared" si="19"/>
        <v>0</v>
      </c>
      <c r="Q98" s="226">
        <f t="shared" si="19"/>
        <v>0</v>
      </c>
      <c r="R98" s="226">
        <f t="shared" si="19"/>
        <v>0</v>
      </c>
      <c r="S98" s="226">
        <f t="shared" si="19"/>
        <v>0</v>
      </c>
    </row>
    <row r="99" spans="1:19">
      <c r="A99" s="102"/>
      <c r="B99" s="211"/>
      <c r="H99" s="149" t="s">
        <v>262</v>
      </c>
      <c r="I99" s="149"/>
      <c r="J99" s="149"/>
      <c r="K99" s="149"/>
      <c r="L99" s="149"/>
      <c r="M99" s="149"/>
      <c r="N99" s="149"/>
      <c r="O99" s="149"/>
      <c r="P99" s="149"/>
      <c r="Q99" s="149"/>
      <c r="R99" s="149"/>
      <c r="S99" s="149"/>
    </row>
    <row r="100" spans="1:19">
      <c r="A100" s="102"/>
      <c r="B100" s="211"/>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c r="A101" s="102"/>
      <c r="B101" s="211"/>
      <c r="G101" s="115" t="s">
        <v>259</v>
      </c>
      <c r="H101" s="227">
        <f t="shared" ref="H101:S101" si="21">H47/ABS(H33+0.000001)</f>
        <v>9.9999998000000053E-5</v>
      </c>
      <c r="I101" s="227">
        <f t="shared" si="21"/>
        <v>9.9999998000000053E-5</v>
      </c>
      <c r="J101" s="227">
        <f t="shared" si="21"/>
        <v>1.0000000200000004E-4</v>
      </c>
      <c r="K101" s="227">
        <f t="shared" si="21"/>
        <v>1.0000000200000004E-4</v>
      </c>
      <c r="L101" s="227">
        <f t="shared" si="21"/>
        <v>0</v>
      </c>
      <c r="M101" s="227">
        <f t="shared" si="21"/>
        <v>0</v>
      </c>
      <c r="N101" s="227">
        <f t="shared" si="21"/>
        <v>0</v>
      </c>
      <c r="O101" s="227">
        <f t="shared" si="21"/>
        <v>0</v>
      </c>
      <c r="P101" s="227">
        <f t="shared" si="21"/>
        <v>0</v>
      </c>
      <c r="Q101" s="227">
        <f t="shared" si="21"/>
        <v>0</v>
      </c>
      <c r="R101" s="227">
        <f t="shared" si="21"/>
        <v>0</v>
      </c>
      <c r="S101" s="227">
        <f t="shared" si="21"/>
        <v>0</v>
      </c>
    </row>
    <row r="102" spans="1:19">
      <c r="A102" s="102"/>
      <c r="B102" s="211"/>
      <c r="G102" s="81" t="s">
        <v>257</v>
      </c>
      <c r="H102" s="226">
        <f>IF(MIN(H100,H101)&gt;1,0,MIN(H100,H101))</f>
        <v>9.9999998000000053E-5</v>
      </c>
      <c r="I102" s="226">
        <f t="shared" ref="I102:S102" si="22">IF(MIN(I100,I101)&gt;1,0,MIN(I100,I101))</f>
        <v>9.9999998000000053E-5</v>
      </c>
      <c r="J102" s="226">
        <f t="shared" si="22"/>
        <v>1.0000000200000004E-4</v>
      </c>
      <c r="K102" s="226">
        <f t="shared" si="22"/>
        <v>9.9999998000000053E-5</v>
      </c>
      <c r="L102" s="226">
        <f t="shared" si="22"/>
        <v>0</v>
      </c>
      <c r="M102" s="226">
        <f t="shared" si="22"/>
        <v>0</v>
      </c>
      <c r="N102" s="226">
        <f t="shared" si="22"/>
        <v>0</v>
      </c>
      <c r="O102" s="226">
        <f t="shared" si="22"/>
        <v>0</v>
      </c>
      <c r="P102" s="226">
        <f t="shared" si="22"/>
        <v>0</v>
      </c>
      <c r="Q102" s="226">
        <f t="shared" si="22"/>
        <v>0</v>
      </c>
      <c r="R102" s="226">
        <f t="shared" si="22"/>
        <v>0</v>
      </c>
      <c r="S102" s="226">
        <f t="shared" si="22"/>
        <v>0</v>
      </c>
    </row>
    <row r="103" spans="1:19">
      <c r="A103" s="102"/>
      <c r="B103" s="211"/>
      <c r="H103" s="81" t="s">
        <v>263</v>
      </c>
    </row>
    <row r="104" spans="1:19">
      <c r="A104" s="102"/>
      <c r="B104" s="211"/>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02"/>
      <c r="B105" s="211"/>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02"/>
      <c r="B106" s="211"/>
      <c r="G106" s="81" t="s">
        <v>257</v>
      </c>
      <c r="H106" s="226">
        <f>IF(MIN(H104,H105)&gt;1,0,MIN(H104,H105))</f>
        <v>9.9999998000000053E-5</v>
      </c>
      <c r="I106" s="226">
        <f t="shared" ref="I106:S106" si="25">IF(MIN(I104,I105)&gt;1,0,MIN(I104,I105))</f>
        <v>1.0000000200000004E-4</v>
      </c>
      <c r="J106" s="226">
        <f t="shared" si="25"/>
        <v>1.0000000200000004E-4</v>
      </c>
      <c r="K106" s="226">
        <f t="shared" si="25"/>
        <v>9.9999998000000053E-5</v>
      </c>
      <c r="L106" s="226">
        <f t="shared" si="25"/>
        <v>0</v>
      </c>
      <c r="M106" s="226">
        <f t="shared" si="25"/>
        <v>0</v>
      </c>
      <c r="N106" s="226">
        <f t="shared" si="25"/>
        <v>0</v>
      </c>
      <c r="O106" s="226">
        <f t="shared" si="25"/>
        <v>0</v>
      </c>
      <c r="P106" s="226">
        <f t="shared" si="25"/>
        <v>0</v>
      </c>
      <c r="Q106" s="226">
        <f t="shared" si="25"/>
        <v>0</v>
      </c>
      <c r="R106" s="226">
        <f t="shared" si="25"/>
        <v>0</v>
      </c>
      <c r="S106" s="226">
        <f t="shared" si="25"/>
        <v>0</v>
      </c>
    </row>
    <row r="107" spans="1:19">
      <c r="A107" s="102"/>
      <c r="B107" s="211"/>
    </row>
    <row r="108" spans="1:19">
      <c r="A108" s="102"/>
      <c r="B108" s="211"/>
      <c r="G108" s="225" t="s">
        <v>308</v>
      </c>
      <c r="H108" s="225"/>
      <c r="I108" s="225"/>
      <c r="J108" s="225"/>
      <c r="K108" s="225"/>
      <c r="L108" s="225"/>
      <c r="M108" s="225"/>
      <c r="N108" s="225"/>
      <c r="O108" s="225"/>
      <c r="P108" s="225"/>
    </row>
    <row r="109" spans="1:19">
      <c r="A109" s="102"/>
      <c r="B109" s="211"/>
      <c r="H109" s="102" t="s">
        <v>254</v>
      </c>
      <c r="I109" s="102"/>
      <c r="J109" s="102"/>
      <c r="K109" s="102"/>
      <c r="L109" s="102"/>
      <c r="M109" s="102"/>
      <c r="N109" s="102"/>
      <c r="O109" s="102"/>
      <c r="P109" s="102"/>
      <c r="Q109" s="102"/>
      <c r="R109" s="102"/>
      <c r="S109" s="102"/>
    </row>
    <row r="110" spans="1:19">
      <c r="G110" s="149" t="s">
        <v>259</v>
      </c>
      <c r="H110" s="226">
        <f t="shared" ref="H110:S110" si="26">H56/(H33+0.000001)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c r="G111" s="149" t="s">
        <v>259</v>
      </c>
      <c r="H111" s="228">
        <f t="shared" ref="H111:S111" si="27">H57/(H32+0.000001)</f>
        <v>0</v>
      </c>
      <c r="I111" s="228">
        <f t="shared" si="27"/>
        <v>0</v>
      </c>
      <c r="J111" s="228">
        <f t="shared" si="27"/>
        <v>0</v>
      </c>
      <c r="K111" s="228">
        <f t="shared" si="27"/>
        <v>0</v>
      </c>
      <c r="L111" s="228">
        <f t="shared" si="27"/>
        <v>0</v>
      </c>
      <c r="M111" s="228">
        <f t="shared" si="27"/>
        <v>0</v>
      </c>
      <c r="N111" s="228">
        <f t="shared" si="27"/>
        <v>0</v>
      </c>
      <c r="O111" s="228">
        <f t="shared" si="27"/>
        <v>0</v>
      </c>
      <c r="P111" s="228">
        <f t="shared" si="27"/>
        <v>0</v>
      </c>
      <c r="Q111" s="228">
        <f t="shared" si="27"/>
        <v>0</v>
      </c>
      <c r="R111" s="228">
        <f t="shared" si="27"/>
        <v>0</v>
      </c>
      <c r="S111" s="228">
        <f t="shared" si="27"/>
        <v>0</v>
      </c>
    </row>
    <row r="112" spans="1:19">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257</v>
      </c>
      <c r="H113" s="226">
        <f>IF(H112*MIN(ABS(H110),ABS(H111))&gt;1,0,H112*MIN(ABS(H110),ABS(H111)))</f>
        <v>0</v>
      </c>
      <c r="I113" s="226">
        <f t="shared" ref="I113:S113" si="29">IF(I112*MIN(ABS(I110),ABS(I111))&gt;1,0,I112*MIN(ABS(I110),ABS(I111)))</f>
        <v>0</v>
      </c>
      <c r="J113" s="226">
        <f t="shared" si="29"/>
        <v>0</v>
      </c>
      <c r="K113" s="226">
        <f t="shared" si="29"/>
        <v>0</v>
      </c>
      <c r="L113" s="226">
        <f t="shared" si="29"/>
        <v>0</v>
      </c>
      <c r="M113" s="226">
        <f t="shared" si="29"/>
        <v>0</v>
      </c>
      <c r="N113" s="226">
        <f t="shared" si="29"/>
        <v>0</v>
      </c>
      <c r="O113" s="226">
        <f t="shared" si="29"/>
        <v>0</v>
      </c>
      <c r="P113" s="226">
        <f t="shared" si="29"/>
        <v>0</v>
      </c>
      <c r="Q113" s="226">
        <f t="shared" si="29"/>
        <v>0</v>
      </c>
      <c r="R113" s="226">
        <f t="shared" si="29"/>
        <v>0</v>
      </c>
      <c r="S113" s="226">
        <f t="shared" si="29"/>
        <v>0</v>
      </c>
    </row>
    <row r="114" spans="7:19">
      <c r="H114" s="102" t="s">
        <v>255</v>
      </c>
      <c r="I114" s="102"/>
      <c r="J114" s="102"/>
      <c r="K114" s="102"/>
      <c r="L114" s="102"/>
      <c r="M114" s="102"/>
      <c r="N114" s="102"/>
      <c r="O114" s="102"/>
      <c r="P114" s="102"/>
      <c r="Q114" s="102"/>
      <c r="R114" s="102"/>
      <c r="S114" s="102"/>
    </row>
    <row r="115" spans="7:19">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c r="G117" s="154" t="s">
        <v>258</v>
      </c>
      <c r="H117" s="229">
        <f>SIGN(H115+0.000000000001)*SIGN(H116+0.000000000001)</f>
        <v>1</v>
      </c>
      <c r="I117" s="229">
        <f t="shared" ref="I117:S117" si="32">SIGN(I115+0.000000000001)*SIGN(I116+0.000000000001)</f>
        <v>1</v>
      </c>
      <c r="J117" s="229">
        <f t="shared" si="32"/>
        <v>1</v>
      </c>
      <c r="K117" s="229">
        <f t="shared" si="32"/>
        <v>1</v>
      </c>
      <c r="L117" s="229">
        <f t="shared" si="32"/>
        <v>1</v>
      </c>
      <c r="M117" s="229">
        <f t="shared" si="32"/>
        <v>1</v>
      </c>
      <c r="N117" s="229">
        <f t="shared" si="32"/>
        <v>1</v>
      </c>
      <c r="O117" s="229">
        <f t="shared" si="32"/>
        <v>1</v>
      </c>
      <c r="P117" s="229">
        <f t="shared" si="32"/>
        <v>1</v>
      </c>
      <c r="Q117" s="229">
        <f t="shared" si="32"/>
        <v>1</v>
      </c>
      <c r="R117" s="229">
        <f t="shared" si="32"/>
        <v>1</v>
      </c>
      <c r="S117" s="229">
        <f t="shared" si="32"/>
        <v>1</v>
      </c>
    </row>
    <row r="118" spans="7:19">
      <c r="G118" s="154" t="s">
        <v>257</v>
      </c>
      <c r="H118" s="230">
        <f>IF(H117*MIN(ABS(H115),ABS(H116))&gt;1,0,H117*MIN(ABS(H115),ABS(H116)))</f>
        <v>0</v>
      </c>
      <c r="I118" s="230">
        <f t="shared" ref="I118:S118" si="33">IF(I117*MIN(ABS(I115),ABS(I116))&gt;1,0,I117*MIN(ABS(I115),ABS(I116)))</f>
        <v>0</v>
      </c>
      <c r="J118" s="230">
        <f t="shared" si="33"/>
        <v>0</v>
      </c>
      <c r="K118" s="230">
        <f t="shared" si="33"/>
        <v>0</v>
      </c>
      <c r="L118" s="230">
        <f t="shared" si="33"/>
        <v>0</v>
      </c>
      <c r="M118" s="230">
        <f t="shared" si="33"/>
        <v>0</v>
      </c>
      <c r="N118" s="230">
        <f t="shared" si="33"/>
        <v>0</v>
      </c>
      <c r="O118" s="230">
        <f t="shared" si="33"/>
        <v>0</v>
      </c>
      <c r="P118" s="230">
        <f t="shared" si="33"/>
        <v>0</v>
      </c>
      <c r="Q118" s="230">
        <f t="shared" si="33"/>
        <v>0</v>
      </c>
      <c r="R118" s="230">
        <f t="shared" si="33"/>
        <v>0</v>
      </c>
      <c r="S118" s="230">
        <f t="shared" si="33"/>
        <v>0</v>
      </c>
    </row>
    <row r="119" spans="7:19">
      <c r="H119" s="102" t="s">
        <v>256</v>
      </c>
      <c r="I119" s="102"/>
      <c r="J119" s="102"/>
      <c r="K119" s="102"/>
      <c r="L119" s="102"/>
      <c r="M119" s="102"/>
      <c r="N119" s="102"/>
      <c r="O119" s="102"/>
      <c r="P119" s="102"/>
      <c r="Q119" s="102"/>
      <c r="R119" s="102"/>
      <c r="S119" s="102"/>
    </row>
    <row r="120" spans="7:19">
      <c r="G120" s="149" t="s">
        <v>259</v>
      </c>
      <c r="H120" s="226">
        <f t="shared" ref="H120:S120" si="34">H56/(H31+0.000001)</f>
        <v>0</v>
      </c>
      <c r="I120" s="226">
        <f t="shared" si="34"/>
        <v>0</v>
      </c>
      <c r="J120" s="226">
        <f t="shared" si="34"/>
        <v>0</v>
      </c>
      <c r="K120" s="226">
        <f t="shared" si="34"/>
        <v>0</v>
      </c>
      <c r="L120" s="226">
        <f t="shared" si="34"/>
        <v>0</v>
      </c>
      <c r="M120" s="226">
        <f t="shared" si="34"/>
        <v>0</v>
      </c>
      <c r="N120" s="226">
        <f t="shared" si="34"/>
        <v>0</v>
      </c>
      <c r="O120" s="226">
        <f t="shared" si="34"/>
        <v>0</v>
      </c>
      <c r="P120" s="226">
        <f t="shared" si="34"/>
        <v>0</v>
      </c>
      <c r="Q120" s="226">
        <f t="shared" si="34"/>
        <v>0</v>
      </c>
      <c r="R120" s="226">
        <f t="shared" si="34"/>
        <v>0</v>
      </c>
      <c r="S120" s="226">
        <f t="shared" si="34"/>
        <v>0</v>
      </c>
    </row>
    <row r="121" spans="7:19">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257</v>
      </c>
      <c r="H123" s="226">
        <f>IF(H122*MIN(ABS(H120),ABS(H121))&gt;1,0,H122*MIN(ABS(H120),ABS(H121)))</f>
        <v>0</v>
      </c>
      <c r="I123" s="226">
        <f t="shared" ref="I123:S123" si="37">IF(I122*MIN(ABS(I120),ABS(I121))&gt;1,0,I122*MIN(ABS(I120),ABS(I121)))</f>
        <v>0</v>
      </c>
      <c r="J123" s="226">
        <f t="shared" si="37"/>
        <v>0</v>
      </c>
      <c r="K123" s="226">
        <f t="shared" si="37"/>
        <v>0</v>
      </c>
      <c r="L123" s="226">
        <f t="shared" si="37"/>
        <v>0</v>
      </c>
      <c r="M123" s="226">
        <f t="shared" si="37"/>
        <v>0</v>
      </c>
      <c r="N123" s="226">
        <f t="shared" si="37"/>
        <v>0</v>
      </c>
      <c r="O123" s="226">
        <f t="shared" si="37"/>
        <v>0</v>
      </c>
      <c r="P123" s="226">
        <f t="shared" si="37"/>
        <v>0</v>
      </c>
      <c r="Q123" s="226">
        <f t="shared" si="37"/>
        <v>0</v>
      </c>
      <c r="R123" s="226">
        <f t="shared" si="37"/>
        <v>0</v>
      </c>
      <c r="S123" s="226">
        <f t="shared" si="37"/>
        <v>0</v>
      </c>
    </row>
    <row r="124" spans="7:19">
      <c r="G124" s="149"/>
    </row>
    <row r="125" spans="7:19">
      <c r="H125" s="144"/>
      <c r="I125" s="144"/>
      <c r="J125" s="144"/>
      <c r="K125" s="144"/>
      <c r="L125" s="144"/>
      <c r="M125" s="144"/>
      <c r="N125" s="144"/>
      <c r="O125" s="144"/>
      <c r="P125" s="144"/>
      <c r="Q125" s="144"/>
      <c r="R125" s="144"/>
      <c r="S125" s="144"/>
    </row>
    <row r="126" spans="7:19">
      <c r="H126" s="226"/>
      <c r="I126" s="226"/>
      <c r="J126" s="226"/>
      <c r="K126" s="226"/>
      <c r="L126" s="226"/>
      <c r="M126" s="226"/>
      <c r="N126" s="226"/>
      <c r="O126" s="226"/>
      <c r="P126" s="226"/>
      <c r="Q126" s="226"/>
      <c r="R126" s="226"/>
      <c r="S126" s="22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baseColWidth="10" defaultColWidth="11" defaultRowHeight="15" x14ac:dyDescent="0"/>
  <cols>
    <col min="1" max="1" width="45.33203125" style="81" customWidth="1"/>
    <col min="2" max="2" width="17.83203125" style="81" customWidth="1"/>
    <col min="3" max="3" width="32.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Loads'!A276</f>
        <v>CS 9</v>
      </c>
      <c r="B1" s="207" t="str">
        <f>'CSs and Loads'!A286</f>
        <v>Thing 9</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210"/>
      <c r="C4" s="82" t="s">
        <v>376</v>
      </c>
      <c r="D4" s="169"/>
      <c r="E4" s="360" t="s">
        <v>378</v>
      </c>
      <c r="F4" s="361"/>
      <c r="G4" s="361"/>
      <c r="H4" s="361"/>
      <c r="I4" s="361"/>
      <c r="J4" s="361"/>
      <c r="K4" s="361"/>
      <c r="L4" s="361"/>
      <c r="M4" s="362"/>
      <c r="N4" s="181"/>
      <c r="O4" s="211"/>
      <c r="P4" s="211"/>
      <c r="Q4" s="211"/>
      <c r="R4" s="211"/>
    </row>
    <row r="5" spans="1:18">
      <c r="A5" s="210"/>
      <c r="C5" s="102" t="s">
        <v>374</v>
      </c>
      <c r="D5" s="169">
        <v>25</v>
      </c>
      <c r="E5" s="182" t="s">
        <v>282</v>
      </c>
      <c r="F5" s="326" t="s">
        <v>285</v>
      </c>
      <c r="G5" s="147">
        <v>0</v>
      </c>
      <c r="H5" s="147">
        <v>0</v>
      </c>
      <c r="I5" s="147">
        <v>0</v>
      </c>
      <c r="J5" s="147">
        <v>0</v>
      </c>
      <c r="K5" s="147">
        <v>0</v>
      </c>
      <c r="L5" s="147">
        <v>0</v>
      </c>
      <c r="M5" s="183" t="s">
        <v>276</v>
      </c>
      <c r="N5" s="181"/>
      <c r="O5" s="211"/>
      <c r="P5" s="211"/>
      <c r="Q5" s="211"/>
      <c r="R5" s="211"/>
    </row>
    <row r="6" spans="1:18">
      <c r="A6" s="210"/>
      <c r="C6" s="102" t="s">
        <v>32</v>
      </c>
      <c r="D6" s="169">
        <f>1770*9.8</f>
        <v>17346</v>
      </c>
      <c r="E6" s="182" t="s">
        <v>283</v>
      </c>
      <c r="F6" s="326"/>
      <c r="G6" s="147">
        <v>0</v>
      </c>
      <c r="H6" s="147">
        <v>0</v>
      </c>
      <c r="I6" s="147">
        <v>0</v>
      </c>
      <c r="J6" s="147">
        <v>0</v>
      </c>
      <c r="K6" s="147">
        <v>0</v>
      </c>
      <c r="L6" s="147">
        <v>0</v>
      </c>
      <c r="M6" s="183" t="s">
        <v>277</v>
      </c>
      <c r="N6" s="181"/>
      <c r="O6" s="211"/>
      <c r="P6" s="211"/>
      <c r="Q6" s="211"/>
      <c r="R6" s="211"/>
    </row>
    <row r="7" spans="1:18">
      <c r="A7" s="210"/>
      <c r="C7" s="102" t="s">
        <v>243</v>
      </c>
      <c r="D7" s="169">
        <f>647*1000</f>
        <v>647000</v>
      </c>
      <c r="E7" s="182" t="s">
        <v>284</v>
      </c>
      <c r="F7" s="326"/>
      <c r="G7" s="147">
        <v>0</v>
      </c>
      <c r="H7" s="147">
        <v>0</v>
      </c>
      <c r="I7" s="147">
        <v>0</v>
      </c>
      <c r="J7" s="147">
        <v>0</v>
      </c>
      <c r="K7" s="147">
        <v>0</v>
      </c>
      <c r="L7" s="147">
        <v>0</v>
      </c>
      <c r="M7" s="183" t="s">
        <v>278</v>
      </c>
      <c r="N7" s="181"/>
      <c r="O7" s="211"/>
      <c r="P7" s="211"/>
      <c r="Q7" s="211"/>
      <c r="R7" s="211"/>
    </row>
    <row r="8" spans="1:18">
      <c r="A8" s="210"/>
      <c r="C8" s="102" t="s">
        <v>33</v>
      </c>
      <c r="D8" s="169">
        <v>3</v>
      </c>
      <c r="E8" s="182" t="s">
        <v>273</v>
      </c>
      <c r="F8" s="326"/>
      <c r="G8" s="147">
        <v>0</v>
      </c>
      <c r="H8" s="147">
        <v>0</v>
      </c>
      <c r="I8" s="147">
        <v>0</v>
      </c>
      <c r="J8" s="147">
        <v>0</v>
      </c>
      <c r="K8" s="147">
        <v>0</v>
      </c>
      <c r="L8" s="147">
        <v>0</v>
      </c>
      <c r="M8" s="183" t="s">
        <v>279</v>
      </c>
      <c r="N8" s="181"/>
      <c r="O8" s="211"/>
      <c r="P8" s="211"/>
      <c r="Q8" s="211"/>
      <c r="R8" s="211"/>
    </row>
    <row r="9" spans="1:18">
      <c r="A9" s="210"/>
      <c r="C9" s="102" t="s">
        <v>34</v>
      </c>
      <c r="D9" s="169">
        <v>0.01</v>
      </c>
      <c r="E9" s="182" t="s">
        <v>275</v>
      </c>
      <c r="F9" s="326"/>
      <c r="G9" s="147">
        <v>0</v>
      </c>
      <c r="H9" s="147">
        <v>0</v>
      </c>
      <c r="I9" s="147">
        <v>0</v>
      </c>
      <c r="J9" s="147">
        <v>0</v>
      </c>
      <c r="K9" s="147">
        <v>0</v>
      </c>
      <c r="L9" s="147">
        <v>0</v>
      </c>
      <c r="M9" s="183" t="s">
        <v>280</v>
      </c>
      <c r="N9" s="181"/>
      <c r="O9" s="211"/>
      <c r="P9" s="211"/>
      <c r="Q9" s="211"/>
      <c r="R9" s="211"/>
    </row>
    <row r="10" spans="1:18" ht="16" thickBot="1">
      <c r="A10" s="210"/>
      <c r="C10" s="102" t="s">
        <v>288</v>
      </c>
      <c r="D10" s="239">
        <f>D6/(D8*D9)</f>
        <v>578200</v>
      </c>
      <c r="E10" s="184" t="s">
        <v>274</v>
      </c>
      <c r="F10" s="359"/>
      <c r="G10" s="188">
        <v>0</v>
      </c>
      <c r="H10" s="188">
        <v>0</v>
      </c>
      <c r="I10" s="188">
        <v>0</v>
      </c>
      <c r="J10" s="188">
        <v>0</v>
      </c>
      <c r="K10" s="188">
        <v>0</v>
      </c>
      <c r="L10" s="188">
        <v>0</v>
      </c>
      <c r="M10" s="187" t="s">
        <v>281</v>
      </c>
      <c r="N10" s="181"/>
      <c r="O10" s="211"/>
      <c r="P10" s="211"/>
      <c r="Q10" s="211"/>
      <c r="R10" s="211"/>
    </row>
    <row r="11" spans="1:18">
      <c r="A11" s="210"/>
      <c r="C11" s="102" t="s">
        <v>35</v>
      </c>
      <c r="D11" s="82">
        <v>25</v>
      </c>
      <c r="E11" s="163"/>
      <c r="F11" s="163"/>
      <c r="G11" s="163"/>
      <c r="H11" s="163"/>
      <c r="I11" s="163"/>
      <c r="J11" s="163"/>
      <c r="K11" s="163"/>
      <c r="L11" s="163"/>
      <c r="M11" s="163"/>
      <c r="O11" s="211"/>
      <c r="P11" s="211"/>
      <c r="Q11" s="211"/>
      <c r="R11" s="211"/>
    </row>
    <row r="12" spans="1:18">
      <c r="A12" s="210"/>
      <c r="C12" s="102" t="s">
        <v>386</v>
      </c>
      <c r="D12" s="101">
        <f>D7*D11^2/4</f>
        <v>101093750</v>
      </c>
      <c r="O12" s="211"/>
      <c r="P12" s="211"/>
      <c r="Q12" s="211"/>
      <c r="R12" s="211"/>
    </row>
    <row r="13" spans="1:18">
      <c r="A13" s="210"/>
      <c r="C13" s="102" t="s">
        <v>289</v>
      </c>
      <c r="D13" s="101">
        <f>D7*D11^2/12</f>
        <v>33697916.666666664</v>
      </c>
      <c r="O13" s="211"/>
      <c r="P13" s="211"/>
      <c r="Q13" s="211"/>
      <c r="R13" s="211"/>
    </row>
    <row r="14" spans="1:18">
      <c r="A14" s="210"/>
      <c r="C14" s="102" t="s">
        <v>290</v>
      </c>
      <c r="D14" s="97">
        <f>D13</f>
        <v>33697916.666666664</v>
      </c>
      <c r="O14" s="211"/>
      <c r="P14" s="211"/>
      <c r="Q14" s="211"/>
      <c r="R14" s="211"/>
    </row>
    <row r="15" spans="1:18">
      <c r="A15" s="210"/>
      <c r="C15" s="114" t="s">
        <v>375</v>
      </c>
      <c r="D15" s="82"/>
      <c r="O15" s="211"/>
      <c r="P15" s="211"/>
      <c r="Q15" s="211"/>
      <c r="R15" s="211"/>
    </row>
    <row r="16" spans="1:18">
      <c r="A16" s="210"/>
      <c r="C16" s="115" t="s">
        <v>267</v>
      </c>
      <c r="D16" s="82"/>
      <c r="O16" s="211"/>
      <c r="P16" s="211"/>
      <c r="Q16" s="211"/>
      <c r="R16" s="211"/>
    </row>
    <row r="17" spans="1:19">
      <c r="A17" s="210"/>
      <c r="C17" s="116" t="s">
        <v>269</v>
      </c>
      <c r="D17" s="82">
        <v>18</v>
      </c>
      <c r="O17" s="211"/>
      <c r="P17" s="211"/>
      <c r="Q17" s="211"/>
      <c r="R17" s="211"/>
    </row>
    <row r="18" spans="1:19">
      <c r="A18" s="210"/>
      <c r="C18" s="116" t="s">
        <v>234</v>
      </c>
      <c r="D18" s="82">
        <v>2500</v>
      </c>
      <c r="O18" s="211"/>
      <c r="P18" s="211"/>
      <c r="Q18" s="211"/>
      <c r="R18" s="211"/>
    </row>
    <row r="19" spans="1:19">
      <c r="A19" s="210"/>
      <c r="C19" s="102" t="s">
        <v>54</v>
      </c>
      <c r="D19" s="117">
        <v>200000</v>
      </c>
      <c r="O19" s="211"/>
      <c r="P19" s="211"/>
      <c r="Q19" s="211"/>
      <c r="R19" s="211"/>
    </row>
    <row r="20" spans="1:19">
      <c r="A20" s="210"/>
      <c r="C20" s="116" t="s">
        <v>268</v>
      </c>
      <c r="D20" s="98">
        <f>PI()*D17^2/4*D19/D18</f>
        <v>20357.520395261861</v>
      </c>
      <c r="O20" s="211"/>
      <c r="P20" s="211"/>
      <c r="Q20" s="211"/>
      <c r="R20" s="211"/>
    </row>
    <row r="21" spans="1:19" ht="16" thickBot="1">
      <c r="A21" s="240"/>
      <c r="B21" s="176"/>
      <c r="C21" s="241" t="s">
        <v>320</v>
      </c>
      <c r="D21" s="231">
        <v>3</v>
      </c>
      <c r="E21" s="176"/>
      <c r="F21" s="176"/>
      <c r="G21" s="176"/>
      <c r="H21" s="176"/>
      <c r="I21" s="176"/>
      <c r="J21" s="176"/>
      <c r="K21" s="176"/>
      <c r="L21" s="176"/>
      <c r="M21" s="176"/>
      <c r="O21" s="211"/>
      <c r="P21" s="211"/>
      <c r="Q21" s="211"/>
      <c r="R21" s="211"/>
    </row>
    <row r="22" spans="1:19" ht="16" thickBot="1">
      <c r="A22" s="363" t="s">
        <v>380</v>
      </c>
      <c r="B22" s="364"/>
      <c r="C22" s="364"/>
      <c r="D22" s="364"/>
      <c r="E22" s="364"/>
      <c r="F22" s="364"/>
      <c r="G22" s="364"/>
      <c r="H22" s="364"/>
      <c r="I22" s="364"/>
      <c r="J22" s="364"/>
      <c r="K22" s="364"/>
      <c r="L22" s="364"/>
      <c r="M22" s="365"/>
      <c r="N22" s="181"/>
      <c r="O22" s="211"/>
      <c r="P22" s="211"/>
      <c r="Q22" s="211"/>
      <c r="R22" s="211"/>
    </row>
    <row r="23" spans="1:19" ht="30">
      <c r="A23" s="274" t="s">
        <v>381</v>
      </c>
      <c r="B23" s="234"/>
      <c r="C23" s="242" t="s">
        <v>265</v>
      </c>
      <c r="D23" s="163"/>
      <c r="E23" s="163"/>
      <c r="F23" s="163"/>
      <c r="G23" s="163"/>
      <c r="H23" s="163"/>
      <c r="I23" s="163"/>
      <c r="J23" s="163"/>
      <c r="K23" s="163"/>
      <c r="L23" s="163"/>
      <c r="M23" s="163"/>
      <c r="O23" s="211"/>
      <c r="P23" s="211"/>
      <c r="Q23" s="211"/>
      <c r="R23" s="211"/>
    </row>
    <row r="24" spans="1:19">
      <c r="A24" s="102" t="s">
        <v>3</v>
      </c>
      <c r="B24" s="107"/>
      <c r="C24" s="154"/>
      <c r="O24" s="211"/>
      <c r="P24" s="211"/>
      <c r="Q24" s="211"/>
      <c r="R24" s="211"/>
    </row>
    <row r="25" spans="1:19">
      <c r="A25" s="219" t="s">
        <v>117</v>
      </c>
      <c r="B25" s="152">
        <f>SUM(H35:S35)+C25</f>
        <v>6785.8401317539538</v>
      </c>
      <c r="C25" s="238">
        <f>D20/D21</f>
        <v>6785.8401317539538</v>
      </c>
      <c r="O25" s="211"/>
      <c r="P25" s="211"/>
      <c r="Q25" s="211"/>
      <c r="R25" s="211"/>
    </row>
    <row r="26" spans="1:19">
      <c r="A26" s="219" t="s">
        <v>118</v>
      </c>
      <c r="B26" s="152">
        <f>SUM(H36:S36)+C26</f>
        <v>2588000</v>
      </c>
      <c r="C26" s="220">
        <v>0</v>
      </c>
      <c r="G26" s="244" t="s">
        <v>185</v>
      </c>
      <c r="O26" s="211"/>
      <c r="P26" s="211"/>
      <c r="Q26" s="211"/>
      <c r="R26" s="211"/>
    </row>
    <row r="27" spans="1:19">
      <c r="A27" s="219" t="s">
        <v>119</v>
      </c>
      <c r="B27" s="152">
        <f>SUM(H37:S37)+C27</f>
        <v>2588000</v>
      </c>
      <c r="C27" s="220">
        <v>0</v>
      </c>
      <c r="G27" s="82" t="s">
        <v>124</v>
      </c>
      <c r="O27" s="211"/>
      <c r="P27" s="211"/>
      <c r="Q27" s="211"/>
      <c r="R27" s="211"/>
    </row>
    <row r="28" spans="1:19">
      <c r="A28" s="102" t="s">
        <v>115</v>
      </c>
      <c r="B28" s="107"/>
      <c r="C28" s="200"/>
      <c r="D28" s="87"/>
      <c r="E28" s="87"/>
      <c r="F28" s="87"/>
      <c r="G28" s="214" t="s">
        <v>133</v>
      </c>
      <c r="H28" s="215">
        <v>4</v>
      </c>
      <c r="O28" s="211"/>
      <c r="P28" s="211"/>
      <c r="Q28" s="211"/>
      <c r="R28" s="211"/>
    </row>
    <row r="29" spans="1:19">
      <c r="A29" s="219" t="s">
        <v>8</v>
      </c>
      <c r="B29" s="152">
        <f>SUM(H39:S39)+SUM(H43:S43)+C29</f>
        <v>6874375000</v>
      </c>
      <c r="C29" s="220">
        <v>0</v>
      </c>
      <c r="D29" s="87"/>
      <c r="E29" s="87"/>
      <c r="F29" s="87"/>
      <c r="H29" s="347" t="s">
        <v>129</v>
      </c>
      <c r="I29" s="347"/>
      <c r="J29" s="347"/>
      <c r="K29" s="347"/>
      <c r="L29" s="347"/>
      <c r="M29" s="347"/>
      <c r="N29" s="347"/>
      <c r="O29" s="347"/>
      <c r="P29" s="347"/>
      <c r="Q29" s="347"/>
      <c r="R29" s="347"/>
      <c r="S29" s="347"/>
    </row>
    <row r="30" spans="1:19">
      <c r="A30" s="219" t="s">
        <v>120</v>
      </c>
      <c r="B30" s="152">
        <f>SUM(H40:S40)+SUM(H44:S44)+C30</f>
        <v>6604791666.666667</v>
      </c>
      <c r="C30" s="220">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19" t="s">
        <v>116</v>
      </c>
      <c r="B31" s="152">
        <f>SUM(H41:S41)+SUM(H45:S45)+C31</f>
        <v>6604791666.666667</v>
      </c>
      <c r="C31" s="220">
        <v>0</v>
      </c>
      <c r="D31" s="87"/>
      <c r="E31" s="87"/>
      <c r="F31" s="87"/>
      <c r="G31" s="102" t="s">
        <v>42</v>
      </c>
      <c r="H31" s="215">
        <v>50</v>
      </c>
      <c r="I31" s="215">
        <v>-50</v>
      </c>
      <c r="J31" s="215">
        <v>-50</v>
      </c>
      <c r="K31" s="215">
        <v>50</v>
      </c>
      <c r="L31" s="215">
        <v>0</v>
      </c>
      <c r="M31" s="215">
        <v>0</v>
      </c>
      <c r="N31" s="215">
        <v>0</v>
      </c>
      <c r="O31" s="215">
        <v>0</v>
      </c>
      <c r="P31" s="215">
        <v>0</v>
      </c>
      <c r="Q31" s="215">
        <v>0</v>
      </c>
      <c r="R31" s="215">
        <v>0</v>
      </c>
      <c r="S31" s="215">
        <v>0</v>
      </c>
    </row>
    <row r="32" spans="1:19">
      <c r="A32" s="348" t="s">
        <v>190</v>
      </c>
      <c r="B32" s="348"/>
      <c r="C32" s="348"/>
      <c r="D32" s="87"/>
      <c r="E32" s="87"/>
      <c r="F32" s="87"/>
      <c r="G32" s="102" t="s">
        <v>43</v>
      </c>
      <c r="H32" s="215">
        <v>0</v>
      </c>
      <c r="I32" s="215">
        <v>0</v>
      </c>
      <c r="J32" s="215">
        <v>0</v>
      </c>
      <c r="K32" s="215">
        <v>0</v>
      </c>
      <c r="L32" s="215">
        <v>0</v>
      </c>
      <c r="M32" s="215">
        <v>0</v>
      </c>
      <c r="N32" s="215">
        <v>0</v>
      </c>
      <c r="O32" s="215">
        <v>0</v>
      </c>
      <c r="P32" s="215">
        <v>0</v>
      </c>
      <c r="Q32" s="215">
        <v>0</v>
      </c>
      <c r="R32" s="215">
        <v>0</v>
      </c>
      <c r="S32" s="215">
        <v>0</v>
      </c>
    </row>
    <row r="33" spans="1:19">
      <c r="A33" s="348"/>
      <c r="B33" s="348"/>
      <c r="C33" s="348"/>
      <c r="D33" s="87"/>
      <c r="E33" s="87"/>
      <c r="F33" s="87"/>
      <c r="G33" s="102" t="s">
        <v>44</v>
      </c>
      <c r="H33" s="215">
        <v>50</v>
      </c>
      <c r="I33" s="215">
        <v>50</v>
      </c>
      <c r="J33" s="215">
        <v>-50</v>
      </c>
      <c r="K33" s="215">
        <v>-50</v>
      </c>
      <c r="L33" s="215">
        <v>0</v>
      </c>
      <c r="M33" s="215">
        <v>0</v>
      </c>
      <c r="N33" s="215">
        <v>0</v>
      </c>
      <c r="O33" s="215">
        <v>0</v>
      </c>
      <c r="P33" s="215">
        <v>0</v>
      </c>
      <c r="Q33" s="215">
        <v>0</v>
      </c>
      <c r="R33" s="215">
        <v>0</v>
      </c>
      <c r="S33" s="215">
        <v>0</v>
      </c>
    </row>
    <row r="34" spans="1:19">
      <c r="A34" s="348"/>
      <c r="B34" s="348"/>
      <c r="C34" s="348"/>
      <c r="G34" s="82" t="s">
        <v>130</v>
      </c>
      <c r="H34" s="349"/>
      <c r="I34" s="349"/>
      <c r="J34" s="349"/>
      <c r="K34" s="349"/>
    </row>
    <row r="35" spans="1:19">
      <c r="A35" s="222" t="s">
        <v>186</v>
      </c>
      <c r="B35" s="215"/>
      <c r="C35" s="215"/>
      <c r="D35" s="87"/>
      <c r="E35" s="87"/>
      <c r="F35" s="87"/>
      <c r="G35" s="102" t="s">
        <v>117</v>
      </c>
      <c r="H35" s="142">
        <v>0</v>
      </c>
      <c r="I35" s="142">
        <v>0</v>
      </c>
      <c r="J35" s="142">
        <v>0</v>
      </c>
      <c r="K35" s="142">
        <v>0</v>
      </c>
      <c r="L35" s="215">
        <v>0</v>
      </c>
      <c r="M35" s="215">
        <v>0</v>
      </c>
      <c r="N35" s="215">
        <v>0</v>
      </c>
      <c r="O35" s="215">
        <v>0</v>
      </c>
      <c r="P35" s="215">
        <v>0</v>
      </c>
      <c r="Q35" s="215">
        <v>0</v>
      </c>
      <c r="R35" s="215">
        <v>0</v>
      </c>
      <c r="S35" s="215">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5">
        <v>0</v>
      </c>
      <c r="M36" s="215">
        <v>0</v>
      </c>
      <c r="N36" s="215">
        <v>0</v>
      </c>
      <c r="O36" s="215">
        <v>0</v>
      </c>
      <c r="P36" s="215">
        <v>0</v>
      </c>
      <c r="Q36" s="215">
        <v>0</v>
      </c>
      <c r="R36" s="215">
        <v>0</v>
      </c>
      <c r="S36" s="215">
        <v>0</v>
      </c>
    </row>
    <row r="37" spans="1:19">
      <c r="A37" s="102" t="s">
        <v>187</v>
      </c>
      <c r="B37" s="215">
        <v>0</v>
      </c>
      <c r="D37" s="87"/>
      <c r="E37" s="87"/>
      <c r="F37" s="87"/>
      <c r="G37" s="102" t="s">
        <v>119</v>
      </c>
      <c r="H37" s="142">
        <f>H36</f>
        <v>647000</v>
      </c>
      <c r="I37" s="142">
        <f t="shared" ref="I37:K37" si="2">I36</f>
        <v>647000</v>
      </c>
      <c r="J37" s="142">
        <f t="shared" si="2"/>
        <v>647000</v>
      </c>
      <c r="K37" s="142">
        <f t="shared" si="2"/>
        <v>647000</v>
      </c>
      <c r="L37" s="215">
        <v>0</v>
      </c>
      <c r="M37" s="215">
        <v>0</v>
      </c>
      <c r="N37" s="215">
        <v>0</v>
      </c>
      <c r="O37" s="215">
        <v>0</v>
      </c>
      <c r="P37" s="215">
        <v>0</v>
      </c>
      <c r="Q37" s="215">
        <v>0</v>
      </c>
      <c r="R37" s="215">
        <v>0</v>
      </c>
      <c r="S37" s="215">
        <v>0</v>
      </c>
    </row>
    <row r="38" spans="1:19">
      <c r="A38" s="102" t="s">
        <v>188</v>
      </c>
      <c r="B38" s="215">
        <v>0</v>
      </c>
      <c r="D38" s="87"/>
      <c r="E38" s="87"/>
      <c r="F38" s="87"/>
      <c r="G38" s="82" t="s">
        <v>131</v>
      </c>
      <c r="H38" s="349"/>
      <c r="I38" s="349"/>
      <c r="J38" s="349"/>
      <c r="K38" s="349"/>
    </row>
    <row r="39" spans="1:19">
      <c r="A39" s="102" t="s">
        <v>189</v>
      </c>
      <c r="B39" s="215">
        <v>0</v>
      </c>
      <c r="D39" s="87"/>
      <c r="E39" s="87"/>
      <c r="F39" s="87"/>
      <c r="G39" s="102" t="s">
        <v>8</v>
      </c>
      <c r="H39" s="142">
        <f>'ref bearings, servo, structure'!B10</f>
        <v>101093750</v>
      </c>
      <c r="I39" s="142">
        <f>H39</f>
        <v>101093750</v>
      </c>
      <c r="J39" s="142">
        <f t="shared" ref="J39:K39" si="3">I39</f>
        <v>101093750</v>
      </c>
      <c r="K39" s="142">
        <f t="shared" si="3"/>
        <v>101093750</v>
      </c>
      <c r="L39" s="215">
        <v>0</v>
      </c>
      <c r="M39" s="215">
        <v>0</v>
      </c>
      <c r="N39" s="215">
        <v>0</v>
      </c>
      <c r="O39" s="215">
        <v>0</v>
      </c>
      <c r="P39" s="215">
        <v>0</v>
      </c>
      <c r="Q39" s="215">
        <v>0</v>
      </c>
      <c r="R39" s="215">
        <v>0</v>
      </c>
      <c r="S39" s="215">
        <v>0</v>
      </c>
    </row>
    <row r="40" spans="1:19">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5">
        <v>0</v>
      </c>
      <c r="M40" s="215">
        <v>0</v>
      </c>
      <c r="N40" s="215">
        <v>0</v>
      </c>
      <c r="O40" s="215">
        <v>0</v>
      </c>
      <c r="P40" s="215">
        <v>0</v>
      </c>
      <c r="Q40" s="215">
        <v>0</v>
      </c>
      <c r="R40" s="215">
        <v>0</v>
      </c>
      <c r="S40" s="215">
        <v>0</v>
      </c>
    </row>
    <row r="41" spans="1:19">
      <c r="A41" s="102" t="s">
        <v>187</v>
      </c>
      <c r="B41" s="215">
        <v>0</v>
      </c>
      <c r="G41" s="102" t="s">
        <v>116</v>
      </c>
      <c r="H41" s="142">
        <f>'ref bearings, servo, structure'!B11</f>
        <v>33697916.666666664</v>
      </c>
      <c r="I41" s="142">
        <f t="shared" si="4"/>
        <v>33697916.666666664</v>
      </c>
      <c r="J41" s="142">
        <f t="shared" si="4"/>
        <v>33697916.666666664</v>
      </c>
      <c r="K41" s="142">
        <f t="shared" si="4"/>
        <v>33697916.666666664</v>
      </c>
      <c r="L41" s="215">
        <v>0</v>
      </c>
      <c r="M41" s="215">
        <v>0</v>
      </c>
      <c r="N41" s="215">
        <v>0</v>
      </c>
      <c r="O41" s="215">
        <v>0</v>
      </c>
      <c r="P41" s="215">
        <v>0</v>
      </c>
      <c r="Q41" s="215">
        <v>0</v>
      </c>
      <c r="R41" s="215">
        <v>0</v>
      </c>
      <c r="S41" s="215">
        <v>0</v>
      </c>
    </row>
    <row r="42" spans="1:19">
      <c r="A42" s="102" t="s">
        <v>188</v>
      </c>
      <c r="B42" s="215">
        <v>0</v>
      </c>
      <c r="D42" s="218"/>
      <c r="E42" s="218"/>
      <c r="F42" s="218"/>
      <c r="G42" s="82" t="s">
        <v>125</v>
      </c>
    </row>
    <row r="43" spans="1:19">
      <c r="A43" s="102" t="s">
        <v>189</v>
      </c>
      <c r="B43" s="215">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6" t="s">
        <v>207</v>
      </c>
      <c r="D44" s="220"/>
      <c r="E44" s="220"/>
      <c r="F44" s="220"/>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0"/>
      <c r="E45" s="220"/>
      <c r="F45" s="220"/>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0"/>
      <c r="E46" s="220"/>
      <c r="F46" s="220"/>
      <c r="G46" s="82" t="s">
        <v>307</v>
      </c>
    </row>
    <row r="47" spans="1:19">
      <c r="A47" s="102" t="s">
        <v>123</v>
      </c>
      <c r="B47" s="105">
        <f t="shared" si="8"/>
        <v>5.0000000000000001E-3</v>
      </c>
      <c r="C47" s="87"/>
      <c r="D47" s="200"/>
      <c r="E47" s="200"/>
      <c r="F47" s="200"/>
      <c r="G47" s="102" t="s">
        <v>121</v>
      </c>
      <c r="H47" s="215">
        <f t="shared" ref="H47:K49" si="9">0.005</f>
        <v>5.0000000000000001E-3</v>
      </c>
      <c r="I47" s="215">
        <f t="shared" si="9"/>
        <v>5.0000000000000001E-3</v>
      </c>
      <c r="J47" s="215">
        <f t="shared" si="9"/>
        <v>5.0000000000000001E-3</v>
      </c>
      <c r="K47" s="215">
        <f t="shared" si="9"/>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1.0000000000000007E-4</v>
      </c>
      <c r="C48" s="87"/>
      <c r="D48" s="220"/>
      <c r="E48" s="220"/>
      <c r="F48" s="220"/>
      <c r="G48" s="102" t="s">
        <v>122</v>
      </c>
      <c r="H48" s="215">
        <f t="shared" si="9"/>
        <v>5.0000000000000001E-3</v>
      </c>
      <c r="I48" s="215">
        <f t="shared" si="9"/>
        <v>5.0000000000000001E-3</v>
      </c>
      <c r="J48" s="215">
        <f t="shared" si="9"/>
        <v>5.0000000000000001E-3</v>
      </c>
      <c r="K48" s="215">
        <f t="shared" si="9"/>
        <v>5.0000000000000001E-3</v>
      </c>
      <c r="L48" s="215">
        <v>0</v>
      </c>
      <c r="M48" s="215">
        <v>0</v>
      </c>
      <c r="N48" s="215">
        <v>0</v>
      </c>
      <c r="O48" s="215">
        <v>0</v>
      </c>
      <c r="P48" s="215">
        <v>0</v>
      </c>
      <c r="Q48" s="215">
        <v>0</v>
      </c>
      <c r="R48" s="215">
        <v>0</v>
      </c>
      <c r="S48" s="215">
        <v>0</v>
      </c>
    </row>
    <row r="49" spans="1:20">
      <c r="A49" s="102" t="s">
        <v>86</v>
      </c>
      <c r="B49" s="105">
        <f>SQRT((H52^2+I52^2+J52^2+K52^2+L52^2+M52^2+N52^2+O52^2+P52^2+Q52^2+R52^2+S52^2+B38^2)/H$28)</f>
        <v>9.9999999000000077E-5</v>
      </c>
      <c r="C49" s="87"/>
      <c r="D49" s="220"/>
      <c r="E49" s="220"/>
      <c r="F49" s="220"/>
      <c r="G49" s="102" t="s">
        <v>123</v>
      </c>
      <c r="H49" s="215">
        <f t="shared" si="9"/>
        <v>5.0000000000000001E-3</v>
      </c>
      <c r="I49" s="215">
        <f t="shared" si="9"/>
        <v>5.0000000000000001E-3</v>
      </c>
      <c r="J49" s="215">
        <f t="shared" si="9"/>
        <v>5.0000000000000001E-3</v>
      </c>
      <c r="K49" s="215">
        <f t="shared" si="9"/>
        <v>5.0000000000000001E-3</v>
      </c>
      <c r="L49" s="215">
        <v>0</v>
      </c>
      <c r="M49" s="215">
        <v>0</v>
      </c>
      <c r="N49" s="215">
        <v>0</v>
      </c>
      <c r="O49" s="215">
        <v>0</v>
      </c>
      <c r="P49" s="215">
        <v>0</v>
      </c>
      <c r="Q49" s="215">
        <v>0</v>
      </c>
      <c r="R49" s="215">
        <v>0</v>
      </c>
      <c r="S49" s="215">
        <v>0</v>
      </c>
    </row>
    <row r="50" spans="1:20">
      <c r="A50" s="102" t="s">
        <v>87</v>
      </c>
      <c r="B50" s="105">
        <f>SQRT((H53^2+I53^2+J53^2+K53^2+L53^2+M53^2+N53^2+O53^2+P53^2+Q53^2+R53^2+S53^2+B39^2)/H$28)</f>
        <v>1.0000000000000007E-4</v>
      </c>
      <c r="C50" s="87"/>
      <c r="D50" s="220"/>
      <c r="E50" s="220"/>
      <c r="F50" s="220"/>
      <c r="G50" s="82" t="s">
        <v>252</v>
      </c>
    </row>
    <row r="51" spans="1:20" ht="45">
      <c r="A51" s="217" t="s">
        <v>208</v>
      </c>
      <c r="B51" s="107"/>
      <c r="D51" s="221"/>
      <c r="E51" s="221"/>
      <c r="F51" s="221"/>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c r="A52" s="102" t="s">
        <v>121</v>
      </c>
      <c r="B52" s="105">
        <f>SQRT((H55^2+I55^2+J55^2+K55^2+L55^2+M55^2+N55^2+O55^2+P55^2+Q55^2+R55^2+S55^2)/H$28)</f>
        <v>0</v>
      </c>
      <c r="C52" s="87"/>
      <c r="D52" s="221"/>
      <c r="E52" s="221"/>
      <c r="F52" s="221"/>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c r="A53" s="102" t="s">
        <v>122</v>
      </c>
      <c r="B53" s="105">
        <f t="shared" ref="B53:B54" si="12">SQRT((H56^2+I56^2+J56^2+K56^2+L56^2+M56^2+N56^2+O56^2+P56^2+Q56^2+R56^2+S56^2)/H$28)</f>
        <v>0</v>
      </c>
      <c r="C53" s="87"/>
      <c r="D53" s="221"/>
      <c r="E53" s="221"/>
      <c r="F53" s="221"/>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c r="A54" s="102" t="s">
        <v>123</v>
      </c>
      <c r="B54" s="105">
        <f t="shared" si="12"/>
        <v>0</v>
      </c>
      <c r="C54" s="87"/>
      <c r="D54" s="215"/>
      <c r="E54" s="215"/>
      <c r="F54" s="215"/>
      <c r="G54" s="82" t="s">
        <v>333</v>
      </c>
    </row>
    <row r="55" spans="1:20">
      <c r="A55" s="102" t="s">
        <v>85</v>
      </c>
      <c r="B55" s="105">
        <f>SQRT((H59^2+I59^2+J59^2+K59^2+L59^2+M59^2+N59^2+O59^2+P59^2+Q59^2+R59^2+S59^2+B41^2)/H$28)</f>
        <v>0</v>
      </c>
      <c r="C55" s="87"/>
      <c r="G55" s="102" t="s">
        <v>121</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SQRT((H60^2+I60^2+J60^2+K60^2+L60^2+M60^2+N60^2+O60^2+P60^2+Q60^2+R60^2+S60^2+B42^2)/H$28)</f>
        <v>0</v>
      </c>
      <c r="C56" s="87"/>
      <c r="G56" s="102" t="s">
        <v>122</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SQRT((H61^2+I61^2+J61^2+K61^2+L61^2+M61^2+N61^2+O61^2+P61^2+Q61^2+R61^2+S61^2+B43^2)/H$28)</f>
        <v>0</v>
      </c>
      <c r="C57" s="87"/>
      <c r="G57" s="102" t="s">
        <v>123</v>
      </c>
      <c r="H57" s="215">
        <v>0</v>
      </c>
      <c r="I57" s="215">
        <v>0</v>
      </c>
      <c r="J57" s="215">
        <v>0</v>
      </c>
      <c r="K57" s="215">
        <v>0</v>
      </c>
      <c r="L57" s="215">
        <v>0</v>
      </c>
      <c r="M57" s="215">
        <v>0</v>
      </c>
      <c r="N57" s="215">
        <v>0</v>
      </c>
      <c r="O57" s="215">
        <v>0</v>
      </c>
      <c r="P57" s="215">
        <v>0</v>
      </c>
      <c r="Q57" s="215">
        <v>0</v>
      </c>
      <c r="R57" s="215">
        <v>0</v>
      </c>
      <c r="S57" s="215">
        <v>0</v>
      </c>
    </row>
    <row r="58" spans="1:20">
      <c r="B58" s="107"/>
      <c r="G58" s="82" t="s">
        <v>253</v>
      </c>
    </row>
    <row r="59" spans="1:20">
      <c r="G59" s="102" t="s">
        <v>85</v>
      </c>
      <c r="H59" s="223">
        <f>H113</f>
        <v>0</v>
      </c>
      <c r="I59" s="223">
        <f t="shared" ref="I59:S59" si="14">I113</f>
        <v>0</v>
      </c>
      <c r="J59" s="223">
        <f t="shared" si="14"/>
        <v>0</v>
      </c>
      <c r="K59" s="223">
        <f t="shared" si="14"/>
        <v>0</v>
      </c>
      <c r="L59" s="223">
        <f t="shared" si="14"/>
        <v>0</v>
      </c>
      <c r="M59" s="223">
        <f t="shared" si="14"/>
        <v>0</v>
      </c>
      <c r="N59" s="223">
        <f t="shared" si="14"/>
        <v>0</v>
      </c>
      <c r="O59" s="223">
        <f t="shared" si="14"/>
        <v>0</v>
      </c>
      <c r="P59" s="223">
        <f t="shared" si="14"/>
        <v>0</v>
      </c>
      <c r="Q59" s="223">
        <f t="shared" si="14"/>
        <v>0</v>
      </c>
      <c r="R59" s="223">
        <f t="shared" si="14"/>
        <v>0</v>
      </c>
      <c r="S59" s="223">
        <f t="shared" si="14"/>
        <v>0</v>
      </c>
    </row>
    <row r="60" spans="1:20">
      <c r="G60" s="102" t="s">
        <v>86</v>
      </c>
      <c r="H60" s="223">
        <f>H118</f>
        <v>0</v>
      </c>
      <c r="I60" s="223">
        <f t="shared" ref="I60:S60" si="15">I118</f>
        <v>0</v>
      </c>
      <c r="J60" s="223">
        <f t="shared" si="15"/>
        <v>0</v>
      </c>
      <c r="K60" s="223">
        <f t="shared" si="15"/>
        <v>0</v>
      </c>
      <c r="L60" s="223">
        <f t="shared" si="15"/>
        <v>0</v>
      </c>
      <c r="M60" s="223">
        <f t="shared" si="15"/>
        <v>0</v>
      </c>
      <c r="N60" s="223">
        <f t="shared" si="15"/>
        <v>0</v>
      </c>
      <c r="O60" s="223">
        <f t="shared" si="15"/>
        <v>0</v>
      </c>
      <c r="P60" s="223">
        <f t="shared" si="15"/>
        <v>0</v>
      </c>
      <c r="Q60" s="223">
        <f t="shared" si="15"/>
        <v>0</v>
      </c>
      <c r="R60" s="223">
        <f t="shared" si="15"/>
        <v>0</v>
      </c>
      <c r="S60" s="223">
        <f t="shared" si="15"/>
        <v>0</v>
      </c>
    </row>
    <row r="61" spans="1:20">
      <c r="G61" s="102" t="s">
        <v>87</v>
      </c>
      <c r="H61" s="223">
        <f>H123</f>
        <v>0</v>
      </c>
      <c r="I61" s="223">
        <f t="shared" ref="I61:S61" si="16">I123</f>
        <v>0</v>
      </c>
      <c r="J61" s="223">
        <f t="shared" si="16"/>
        <v>0</v>
      </c>
      <c r="K61" s="223">
        <f t="shared" si="16"/>
        <v>0</v>
      </c>
      <c r="L61" s="223">
        <f t="shared" si="16"/>
        <v>0</v>
      </c>
      <c r="M61" s="223">
        <f t="shared" si="16"/>
        <v>0</v>
      </c>
      <c r="N61" s="223">
        <f t="shared" si="16"/>
        <v>0</v>
      </c>
      <c r="O61" s="223">
        <f t="shared" si="16"/>
        <v>0</v>
      </c>
      <c r="P61" s="223">
        <f t="shared" si="16"/>
        <v>0</v>
      </c>
      <c r="Q61" s="223">
        <f t="shared" si="16"/>
        <v>0</v>
      </c>
      <c r="R61" s="223">
        <f t="shared" si="16"/>
        <v>0</v>
      </c>
      <c r="S61" s="223">
        <f t="shared" si="16"/>
        <v>0</v>
      </c>
    </row>
    <row r="62" spans="1:20">
      <c r="G62" s="216"/>
    </row>
    <row r="63" spans="1:20">
      <c r="I63" s="118"/>
      <c r="J63" s="118"/>
      <c r="K63" s="118"/>
      <c r="L63" s="118"/>
      <c r="M63" s="118"/>
      <c r="N63" s="118"/>
    </row>
    <row r="64" spans="1:20">
      <c r="G64" s="119"/>
      <c r="H64" s="326"/>
      <c r="I64" s="224"/>
      <c r="J64" s="224"/>
      <c r="K64" s="224"/>
      <c r="L64" s="224"/>
      <c r="M64" s="224"/>
      <c r="N64" s="224"/>
      <c r="O64" s="118"/>
    </row>
    <row r="65" spans="1:15">
      <c r="G65" s="119"/>
      <c r="H65" s="326"/>
      <c r="I65" s="224"/>
      <c r="J65" s="224"/>
      <c r="K65" s="224"/>
      <c r="L65" s="224"/>
      <c r="M65" s="224"/>
      <c r="N65" s="224"/>
      <c r="O65" s="118"/>
    </row>
    <row r="66" spans="1:15">
      <c r="G66" s="119"/>
      <c r="H66" s="326"/>
      <c r="I66" s="224"/>
      <c r="J66" s="224"/>
      <c r="K66" s="224"/>
      <c r="L66" s="224"/>
      <c r="M66" s="224"/>
      <c r="N66" s="224"/>
      <c r="O66" s="118"/>
    </row>
    <row r="67" spans="1:15">
      <c r="G67" s="119"/>
      <c r="H67" s="326"/>
      <c r="I67" s="224"/>
      <c r="J67" s="224"/>
      <c r="K67" s="224"/>
      <c r="L67" s="224"/>
      <c r="M67" s="224"/>
      <c r="N67" s="224"/>
      <c r="O67" s="118"/>
    </row>
    <row r="68" spans="1:15">
      <c r="G68" s="119"/>
      <c r="H68" s="326"/>
      <c r="I68" s="224"/>
      <c r="J68" s="224"/>
      <c r="K68" s="224"/>
      <c r="L68" s="224"/>
      <c r="M68" s="224"/>
      <c r="N68" s="224"/>
      <c r="O68" s="118"/>
    </row>
    <row r="69" spans="1:15">
      <c r="G69" s="119"/>
      <c r="H69" s="326"/>
      <c r="I69" s="224"/>
      <c r="J69" s="224"/>
      <c r="K69" s="224"/>
      <c r="L69" s="224"/>
      <c r="M69" s="224"/>
      <c r="N69" s="224"/>
      <c r="O69" s="118"/>
    </row>
    <row r="70" spans="1:15">
      <c r="G70" s="119"/>
      <c r="H70" s="195"/>
      <c r="I70" s="224"/>
      <c r="J70" s="224"/>
      <c r="K70" s="224"/>
      <c r="L70" s="224"/>
      <c r="M70" s="224"/>
      <c r="N70" s="224"/>
      <c r="O70" s="118"/>
    </row>
    <row r="71" spans="1:15">
      <c r="G71" s="119"/>
      <c r="H71" s="195"/>
      <c r="I71" s="224"/>
      <c r="J71" s="224"/>
      <c r="K71" s="224"/>
      <c r="L71" s="224"/>
      <c r="M71" s="224"/>
      <c r="N71" s="224"/>
      <c r="O71" s="118"/>
    </row>
    <row r="72" spans="1:15">
      <c r="G72" s="119"/>
      <c r="H72" s="195"/>
      <c r="I72" s="224"/>
      <c r="J72" s="224"/>
      <c r="K72" s="224"/>
      <c r="L72" s="224"/>
      <c r="M72" s="224"/>
      <c r="N72" s="224"/>
      <c r="O72" s="118"/>
    </row>
    <row r="73" spans="1:15">
      <c r="G73" s="119"/>
      <c r="H73" s="195"/>
      <c r="I73" s="224"/>
      <c r="J73" s="224"/>
      <c r="K73" s="224"/>
      <c r="L73" s="224"/>
      <c r="M73" s="224"/>
      <c r="N73" s="224"/>
      <c r="O73" s="118"/>
    </row>
    <row r="74" spans="1:15">
      <c r="G74" s="119"/>
      <c r="H74" s="195"/>
      <c r="I74" s="224"/>
      <c r="J74" s="224"/>
      <c r="K74" s="224"/>
      <c r="L74" s="224"/>
      <c r="M74" s="224"/>
      <c r="N74" s="224"/>
      <c r="O74" s="118"/>
    </row>
    <row r="75" spans="1:15">
      <c r="G75" s="119"/>
      <c r="H75" s="195"/>
      <c r="I75" s="224"/>
      <c r="J75" s="224"/>
      <c r="K75" s="224"/>
      <c r="L75" s="224"/>
      <c r="M75" s="224"/>
      <c r="N75" s="224"/>
      <c r="O75" s="118"/>
    </row>
    <row r="76" spans="1:15">
      <c r="G76" s="119"/>
      <c r="H76" s="195"/>
      <c r="I76" s="224"/>
      <c r="J76" s="224"/>
      <c r="K76" s="224"/>
      <c r="L76" s="224"/>
      <c r="M76" s="224"/>
      <c r="N76" s="224"/>
      <c r="O76" s="118"/>
    </row>
    <row r="77" spans="1:15">
      <c r="G77" s="119"/>
      <c r="H77" s="195"/>
      <c r="I77" s="224"/>
      <c r="J77" s="224"/>
      <c r="K77" s="224"/>
      <c r="L77" s="224"/>
      <c r="M77" s="224"/>
      <c r="N77" s="224"/>
      <c r="O77" s="118"/>
    </row>
    <row r="78" spans="1:15">
      <c r="G78" s="119"/>
      <c r="H78" s="195"/>
      <c r="I78" s="224"/>
      <c r="J78" s="224"/>
      <c r="K78" s="224"/>
      <c r="L78" s="224"/>
      <c r="M78" s="224"/>
      <c r="N78" s="224"/>
      <c r="O78" s="118"/>
    </row>
    <row r="79" spans="1:15">
      <c r="G79" s="119"/>
      <c r="H79" s="195"/>
      <c r="I79" s="224"/>
      <c r="J79" s="224"/>
      <c r="K79" s="224"/>
      <c r="L79" s="224"/>
      <c r="M79" s="224"/>
      <c r="N79" s="224"/>
      <c r="O79" s="118"/>
    </row>
    <row r="80" spans="1:15">
      <c r="A80" s="102"/>
      <c r="B80" s="211"/>
      <c r="G80" s="119"/>
      <c r="H80" s="195"/>
      <c r="I80" s="224"/>
      <c r="J80" s="224"/>
      <c r="K80" s="224"/>
      <c r="L80" s="224"/>
      <c r="M80" s="224"/>
      <c r="N80" s="224"/>
      <c r="O80" s="118"/>
    </row>
    <row r="81" spans="1:19">
      <c r="A81" s="102"/>
      <c r="B81" s="211"/>
      <c r="G81" s="119"/>
      <c r="H81" s="195"/>
      <c r="I81" s="224"/>
      <c r="J81" s="224"/>
      <c r="K81" s="224"/>
      <c r="L81" s="224"/>
      <c r="M81" s="224"/>
      <c r="N81" s="224"/>
      <c r="O81" s="118"/>
    </row>
    <row r="82" spans="1:19">
      <c r="A82" s="102"/>
      <c r="B82" s="211"/>
      <c r="G82" s="119"/>
      <c r="H82" s="195"/>
      <c r="I82" s="224"/>
      <c r="J82" s="224"/>
      <c r="K82" s="224"/>
      <c r="L82" s="224"/>
      <c r="M82" s="224"/>
      <c r="N82" s="224"/>
      <c r="O82" s="118"/>
    </row>
    <row r="83" spans="1:19">
      <c r="A83" s="102"/>
      <c r="B83" s="211"/>
      <c r="G83" s="119"/>
      <c r="H83" s="195"/>
      <c r="I83" s="224"/>
      <c r="J83" s="224"/>
      <c r="K83" s="224"/>
      <c r="L83" s="224"/>
      <c r="M83" s="224"/>
      <c r="N83" s="224"/>
      <c r="O83" s="118"/>
    </row>
    <row r="84" spans="1:19">
      <c r="A84" s="102"/>
      <c r="B84" s="211"/>
      <c r="G84" s="119"/>
      <c r="H84" s="195"/>
      <c r="I84" s="224"/>
      <c r="J84" s="224"/>
      <c r="K84" s="224"/>
      <c r="L84" s="224"/>
      <c r="M84" s="224"/>
      <c r="N84" s="224"/>
      <c r="O84" s="118"/>
    </row>
    <row r="85" spans="1:19">
      <c r="A85" s="102"/>
      <c r="B85" s="211"/>
      <c r="G85" s="119"/>
      <c r="H85" s="195"/>
      <c r="I85" s="224"/>
      <c r="J85" s="224"/>
      <c r="K85" s="224"/>
      <c r="L85" s="224"/>
      <c r="M85" s="224"/>
      <c r="N85" s="224"/>
      <c r="O85" s="118"/>
    </row>
    <row r="86" spans="1:19">
      <c r="A86" s="102"/>
      <c r="B86" s="211"/>
      <c r="G86" s="119"/>
      <c r="H86" s="195"/>
      <c r="I86" s="224"/>
      <c r="J86" s="224"/>
      <c r="K86" s="224"/>
      <c r="L86" s="224"/>
      <c r="M86" s="224"/>
      <c r="N86" s="224"/>
      <c r="O86" s="118"/>
    </row>
    <row r="87" spans="1:19">
      <c r="A87" s="102"/>
      <c r="B87" s="211"/>
      <c r="G87" s="119"/>
      <c r="H87" s="195"/>
      <c r="I87" s="224"/>
      <c r="J87" s="224"/>
      <c r="K87" s="224"/>
      <c r="L87" s="224"/>
      <c r="M87" s="224"/>
      <c r="N87" s="224"/>
      <c r="O87" s="118"/>
    </row>
    <row r="88" spans="1:19">
      <c r="A88" s="102"/>
      <c r="B88" s="211"/>
      <c r="G88" s="119"/>
      <c r="H88" s="195"/>
      <c r="I88" s="224"/>
      <c r="J88" s="224"/>
      <c r="K88" s="224"/>
      <c r="L88" s="224"/>
      <c r="M88" s="224"/>
      <c r="N88" s="224"/>
      <c r="O88" s="118"/>
    </row>
    <row r="89" spans="1:19">
      <c r="A89" s="102"/>
      <c r="B89" s="211"/>
      <c r="G89" s="119"/>
      <c r="H89" s="195"/>
      <c r="I89" s="224"/>
      <c r="J89" s="224"/>
      <c r="K89" s="224"/>
      <c r="L89" s="224"/>
      <c r="M89" s="224"/>
      <c r="N89" s="224"/>
      <c r="O89" s="118"/>
    </row>
    <row r="90" spans="1:19">
      <c r="A90" s="102"/>
      <c r="B90" s="211"/>
      <c r="G90" s="119"/>
      <c r="H90" s="195"/>
      <c r="I90" s="224"/>
      <c r="J90" s="224"/>
      <c r="K90" s="224"/>
      <c r="L90" s="224"/>
      <c r="M90" s="224"/>
      <c r="N90" s="224"/>
      <c r="O90" s="118"/>
    </row>
    <row r="91" spans="1:19">
      <c r="A91" s="102"/>
      <c r="B91" s="211"/>
    </row>
    <row r="92" spans="1:19">
      <c r="A92" s="102"/>
      <c r="B92" s="211"/>
    </row>
    <row r="93" spans="1:19">
      <c r="A93" s="102"/>
      <c r="B93" s="211"/>
    </row>
    <row r="94" spans="1:19">
      <c r="A94" s="102"/>
      <c r="B94" s="211"/>
      <c r="G94" s="225" t="s">
        <v>260</v>
      </c>
    </row>
    <row r="95" spans="1:19">
      <c r="A95" s="102"/>
      <c r="B95" s="211"/>
      <c r="G95" s="213"/>
      <c r="H95" s="149" t="s">
        <v>261</v>
      </c>
    </row>
    <row r="96" spans="1:19">
      <c r="A96" s="102"/>
      <c r="B96" s="211"/>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1"/>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02"/>
      <c r="B98" s="211"/>
      <c r="G98" s="81" t="s">
        <v>257</v>
      </c>
      <c r="H98" s="226">
        <f>IF(MIN(H96,H97)&gt;1,0,MIN(H96,H97))</f>
        <v>9.9999998000000053E-5</v>
      </c>
      <c r="I98" s="226">
        <f t="shared" ref="I98:S98" si="19">IF(MIN(I96,I97)&gt;1,0,MIN(I96,I97))</f>
        <v>9.9999998000000053E-5</v>
      </c>
      <c r="J98" s="226">
        <f t="shared" si="19"/>
        <v>1.0000000200000004E-4</v>
      </c>
      <c r="K98" s="226">
        <f t="shared" si="19"/>
        <v>1.0000000200000004E-4</v>
      </c>
      <c r="L98" s="226">
        <f t="shared" si="19"/>
        <v>0</v>
      </c>
      <c r="M98" s="226">
        <f t="shared" si="19"/>
        <v>0</v>
      </c>
      <c r="N98" s="226">
        <f t="shared" si="19"/>
        <v>0</v>
      </c>
      <c r="O98" s="226">
        <f t="shared" si="19"/>
        <v>0</v>
      </c>
      <c r="P98" s="226">
        <f t="shared" si="19"/>
        <v>0</v>
      </c>
      <c r="Q98" s="226">
        <f t="shared" si="19"/>
        <v>0</v>
      </c>
      <c r="R98" s="226">
        <f t="shared" si="19"/>
        <v>0</v>
      </c>
      <c r="S98" s="226">
        <f t="shared" si="19"/>
        <v>0</v>
      </c>
    </row>
    <row r="99" spans="1:19">
      <c r="A99" s="102"/>
      <c r="B99" s="211"/>
      <c r="H99" s="149" t="s">
        <v>262</v>
      </c>
      <c r="I99" s="149"/>
      <c r="J99" s="149"/>
      <c r="K99" s="149"/>
      <c r="L99" s="149"/>
      <c r="M99" s="149"/>
      <c r="N99" s="149"/>
      <c r="O99" s="149"/>
      <c r="P99" s="149"/>
      <c r="Q99" s="149"/>
      <c r="R99" s="149"/>
      <c r="S99" s="149"/>
    </row>
    <row r="100" spans="1:19">
      <c r="A100" s="102"/>
      <c r="B100" s="211"/>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c r="A101" s="102"/>
      <c r="B101" s="211"/>
      <c r="G101" s="115" t="s">
        <v>259</v>
      </c>
      <c r="H101" s="227">
        <f t="shared" ref="H101:S101" si="21">H47/ABS(H33+0.000001)</f>
        <v>9.9999998000000053E-5</v>
      </c>
      <c r="I101" s="227">
        <f t="shared" si="21"/>
        <v>9.9999998000000053E-5</v>
      </c>
      <c r="J101" s="227">
        <f t="shared" si="21"/>
        <v>1.0000000200000004E-4</v>
      </c>
      <c r="K101" s="227">
        <f t="shared" si="21"/>
        <v>1.0000000200000004E-4</v>
      </c>
      <c r="L101" s="227">
        <f t="shared" si="21"/>
        <v>0</v>
      </c>
      <c r="M101" s="227">
        <f t="shared" si="21"/>
        <v>0</v>
      </c>
      <c r="N101" s="227">
        <f t="shared" si="21"/>
        <v>0</v>
      </c>
      <c r="O101" s="227">
        <f t="shared" si="21"/>
        <v>0</v>
      </c>
      <c r="P101" s="227">
        <f t="shared" si="21"/>
        <v>0</v>
      </c>
      <c r="Q101" s="227">
        <f t="shared" si="21"/>
        <v>0</v>
      </c>
      <c r="R101" s="227">
        <f t="shared" si="21"/>
        <v>0</v>
      </c>
      <c r="S101" s="227">
        <f t="shared" si="21"/>
        <v>0</v>
      </c>
    </row>
    <row r="102" spans="1:19">
      <c r="A102" s="102"/>
      <c r="B102" s="211"/>
      <c r="G102" s="81" t="s">
        <v>257</v>
      </c>
      <c r="H102" s="226">
        <f>IF(MIN(H100,H101)&gt;1,0,MIN(H100,H101))</f>
        <v>9.9999998000000053E-5</v>
      </c>
      <c r="I102" s="226">
        <f t="shared" ref="I102:S102" si="22">IF(MIN(I100,I101)&gt;1,0,MIN(I100,I101))</f>
        <v>9.9999998000000053E-5</v>
      </c>
      <c r="J102" s="226">
        <f t="shared" si="22"/>
        <v>1.0000000200000004E-4</v>
      </c>
      <c r="K102" s="226">
        <f t="shared" si="22"/>
        <v>9.9999998000000053E-5</v>
      </c>
      <c r="L102" s="226">
        <f t="shared" si="22"/>
        <v>0</v>
      </c>
      <c r="M102" s="226">
        <f t="shared" si="22"/>
        <v>0</v>
      </c>
      <c r="N102" s="226">
        <f t="shared" si="22"/>
        <v>0</v>
      </c>
      <c r="O102" s="226">
        <f t="shared" si="22"/>
        <v>0</v>
      </c>
      <c r="P102" s="226">
        <f t="shared" si="22"/>
        <v>0</v>
      </c>
      <c r="Q102" s="226">
        <f t="shared" si="22"/>
        <v>0</v>
      </c>
      <c r="R102" s="226">
        <f t="shared" si="22"/>
        <v>0</v>
      </c>
      <c r="S102" s="226">
        <f t="shared" si="22"/>
        <v>0</v>
      </c>
    </row>
    <row r="103" spans="1:19">
      <c r="A103" s="102"/>
      <c r="B103" s="211"/>
      <c r="H103" s="81" t="s">
        <v>263</v>
      </c>
    </row>
    <row r="104" spans="1:19">
      <c r="A104" s="102"/>
      <c r="B104" s="211"/>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02"/>
      <c r="B105" s="211"/>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02"/>
      <c r="B106" s="211"/>
      <c r="G106" s="81" t="s">
        <v>257</v>
      </c>
      <c r="H106" s="226">
        <f>IF(MIN(H104,H105)&gt;1,0,MIN(H104,H105))</f>
        <v>9.9999998000000053E-5</v>
      </c>
      <c r="I106" s="226">
        <f t="shared" ref="I106:S106" si="25">IF(MIN(I104,I105)&gt;1,0,MIN(I104,I105))</f>
        <v>1.0000000200000004E-4</v>
      </c>
      <c r="J106" s="226">
        <f t="shared" si="25"/>
        <v>1.0000000200000004E-4</v>
      </c>
      <c r="K106" s="226">
        <f t="shared" si="25"/>
        <v>9.9999998000000053E-5</v>
      </c>
      <c r="L106" s="226">
        <f t="shared" si="25"/>
        <v>0</v>
      </c>
      <c r="M106" s="226">
        <f t="shared" si="25"/>
        <v>0</v>
      </c>
      <c r="N106" s="226">
        <f t="shared" si="25"/>
        <v>0</v>
      </c>
      <c r="O106" s="226">
        <f t="shared" si="25"/>
        <v>0</v>
      </c>
      <c r="P106" s="226">
        <f t="shared" si="25"/>
        <v>0</v>
      </c>
      <c r="Q106" s="226">
        <f t="shared" si="25"/>
        <v>0</v>
      </c>
      <c r="R106" s="226">
        <f t="shared" si="25"/>
        <v>0</v>
      </c>
      <c r="S106" s="226">
        <f t="shared" si="25"/>
        <v>0</v>
      </c>
    </row>
    <row r="107" spans="1:19">
      <c r="A107" s="102"/>
      <c r="B107" s="211"/>
    </row>
    <row r="108" spans="1:19">
      <c r="A108" s="102"/>
      <c r="B108" s="211"/>
      <c r="G108" s="225" t="s">
        <v>308</v>
      </c>
      <c r="H108" s="225"/>
      <c r="I108" s="225"/>
      <c r="J108" s="225"/>
      <c r="K108" s="225"/>
      <c r="L108" s="225"/>
      <c r="M108" s="225"/>
      <c r="N108" s="225"/>
      <c r="O108" s="225"/>
      <c r="P108" s="225"/>
    </row>
    <row r="109" spans="1:19">
      <c r="A109" s="102"/>
      <c r="B109" s="211"/>
      <c r="H109" s="102" t="s">
        <v>254</v>
      </c>
      <c r="I109" s="102"/>
      <c r="J109" s="102"/>
      <c r="K109" s="102"/>
      <c r="L109" s="102"/>
      <c r="M109" s="102"/>
      <c r="N109" s="102"/>
      <c r="O109" s="102"/>
      <c r="P109" s="102"/>
      <c r="Q109" s="102"/>
      <c r="R109" s="102"/>
      <c r="S109" s="102"/>
    </row>
    <row r="110" spans="1:19">
      <c r="G110" s="149" t="s">
        <v>259</v>
      </c>
      <c r="H110" s="226">
        <f t="shared" ref="H110:S110" si="26">H56/(H33+0.000001)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c r="G111" s="149" t="s">
        <v>259</v>
      </c>
      <c r="H111" s="228">
        <f t="shared" ref="H111:S111" si="27">H57/(H32+0.000001)</f>
        <v>0</v>
      </c>
      <c r="I111" s="228">
        <f t="shared" si="27"/>
        <v>0</v>
      </c>
      <c r="J111" s="228">
        <f t="shared" si="27"/>
        <v>0</v>
      </c>
      <c r="K111" s="228">
        <f t="shared" si="27"/>
        <v>0</v>
      </c>
      <c r="L111" s="228">
        <f t="shared" si="27"/>
        <v>0</v>
      </c>
      <c r="M111" s="228">
        <f t="shared" si="27"/>
        <v>0</v>
      </c>
      <c r="N111" s="228">
        <f t="shared" si="27"/>
        <v>0</v>
      </c>
      <c r="O111" s="228">
        <f t="shared" si="27"/>
        <v>0</v>
      </c>
      <c r="P111" s="228">
        <f t="shared" si="27"/>
        <v>0</v>
      </c>
      <c r="Q111" s="228">
        <f t="shared" si="27"/>
        <v>0</v>
      </c>
      <c r="R111" s="228">
        <f t="shared" si="27"/>
        <v>0</v>
      </c>
      <c r="S111" s="228">
        <f t="shared" si="27"/>
        <v>0</v>
      </c>
    </row>
    <row r="112" spans="1:19">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257</v>
      </c>
      <c r="H113" s="226">
        <f>IF(H112*MIN(ABS(H110),ABS(H111))&gt;1,0,H112*MIN(ABS(H110),ABS(H111)))</f>
        <v>0</v>
      </c>
      <c r="I113" s="226">
        <f t="shared" ref="I113:S113" si="29">IF(I112*MIN(ABS(I110),ABS(I111))&gt;1,0,I112*MIN(ABS(I110),ABS(I111)))</f>
        <v>0</v>
      </c>
      <c r="J113" s="226">
        <f t="shared" si="29"/>
        <v>0</v>
      </c>
      <c r="K113" s="226">
        <f t="shared" si="29"/>
        <v>0</v>
      </c>
      <c r="L113" s="226">
        <f t="shared" si="29"/>
        <v>0</v>
      </c>
      <c r="M113" s="226">
        <f t="shared" si="29"/>
        <v>0</v>
      </c>
      <c r="N113" s="226">
        <f t="shared" si="29"/>
        <v>0</v>
      </c>
      <c r="O113" s="226">
        <f t="shared" si="29"/>
        <v>0</v>
      </c>
      <c r="P113" s="226">
        <f t="shared" si="29"/>
        <v>0</v>
      </c>
      <c r="Q113" s="226">
        <f t="shared" si="29"/>
        <v>0</v>
      </c>
      <c r="R113" s="226">
        <f t="shared" si="29"/>
        <v>0</v>
      </c>
      <c r="S113" s="226">
        <f t="shared" si="29"/>
        <v>0</v>
      </c>
    </row>
    <row r="114" spans="7:19">
      <c r="H114" s="102" t="s">
        <v>255</v>
      </c>
      <c r="I114" s="102"/>
      <c r="J114" s="102"/>
      <c r="K114" s="102"/>
      <c r="L114" s="102"/>
      <c r="M114" s="102"/>
      <c r="N114" s="102"/>
      <c r="O114" s="102"/>
      <c r="P114" s="102"/>
      <c r="Q114" s="102"/>
      <c r="R114" s="102"/>
      <c r="S114" s="102"/>
    </row>
    <row r="115" spans="7:19">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c r="G117" s="154" t="s">
        <v>258</v>
      </c>
      <c r="H117" s="229">
        <f>SIGN(H115+0.000000000001)*SIGN(H116+0.000000000001)</f>
        <v>1</v>
      </c>
      <c r="I117" s="229">
        <f t="shared" ref="I117:S117" si="32">SIGN(I115+0.000000000001)*SIGN(I116+0.000000000001)</f>
        <v>1</v>
      </c>
      <c r="J117" s="229">
        <f t="shared" si="32"/>
        <v>1</v>
      </c>
      <c r="K117" s="229">
        <f t="shared" si="32"/>
        <v>1</v>
      </c>
      <c r="L117" s="229">
        <f t="shared" si="32"/>
        <v>1</v>
      </c>
      <c r="M117" s="229">
        <f t="shared" si="32"/>
        <v>1</v>
      </c>
      <c r="N117" s="229">
        <f t="shared" si="32"/>
        <v>1</v>
      </c>
      <c r="O117" s="229">
        <f t="shared" si="32"/>
        <v>1</v>
      </c>
      <c r="P117" s="229">
        <f t="shared" si="32"/>
        <v>1</v>
      </c>
      <c r="Q117" s="229">
        <f t="shared" si="32"/>
        <v>1</v>
      </c>
      <c r="R117" s="229">
        <f t="shared" si="32"/>
        <v>1</v>
      </c>
      <c r="S117" s="229">
        <f t="shared" si="32"/>
        <v>1</v>
      </c>
    </row>
    <row r="118" spans="7:19">
      <c r="G118" s="154" t="s">
        <v>257</v>
      </c>
      <c r="H118" s="230">
        <f>IF(H117*MIN(ABS(H115),ABS(H116))&gt;1,0,H117*MIN(ABS(H115),ABS(H116)))</f>
        <v>0</v>
      </c>
      <c r="I118" s="230">
        <f t="shared" ref="I118:S118" si="33">IF(I117*MIN(ABS(I115),ABS(I116))&gt;1,0,I117*MIN(ABS(I115),ABS(I116)))</f>
        <v>0</v>
      </c>
      <c r="J118" s="230">
        <f t="shared" si="33"/>
        <v>0</v>
      </c>
      <c r="K118" s="230">
        <f t="shared" si="33"/>
        <v>0</v>
      </c>
      <c r="L118" s="230">
        <f t="shared" si="33"/>
        <v>0</v>
      </c>
      <c r="M118" s="230">
        <f t="shared" si="33"/>
        <v>0</v>
      </c>
      <c r="N118" s="230">
        <f t="shared" si="33"/>
        <v>0</v>
      </c>
      <c r="O118" s="230">
        <f t="shared" si="33"/>
        <v>0</v>
      </c>
      <c r="P118" s="230">
        <f t="shared" si="33"/>
        <v>0</v>
      </c>
      <c r="Q118" s="230">
        <f t="shared" si="33"/>
        <v>0</v>
      </c>
      <c r="R118" s="230">
        <f t="shared" si="33"/>
        <v>0</v>
      </c>
      <c r="S118" s="230">
        <f t="shared" si="33"/>
        <v>0</v>
      </c>
    </row>
    <row r="119" spans="7:19">
      <c r="H119" s="102" t="s">
        <v>256</v>
      </c>
      <c r="I119" s="102"/>
      <c r="J119" s="102"/>
      <c r="K119" s="102"/>
      <c r="L119" s="102"/>
      <c r="M119" s="102"/>
      <c r="N119" s="102"/>
      <c r="O119" s="102"/>
      <c r="P119" s="102"/>
      <c r="Q119" s="102"/>
      <c r="R119" s="102"/>
      <c r="S119" s="102"/>
    </row>
    <row r="120" spans="7:19">
      <c r="G120" s="149" t="s">
        <v>259</v>
      </c>
      <c r="H120" s="226">
        <f t="shared" ref="H120:S120" si="34">H56/(H31+0.000001)</f>
        <v>0</v>
      </c>
      <c r="I120" s="226">
        <f t="shared" si="34"/>
        <v>0</v>
      </c>
      <c r="J120" s="226">
        <f t="shared" si="34"/>
        <v>0</v>
      </c>
      <c r="K120" s="226">
        <f t="shared" si="34"/>
        <v>0</v>
      </c>
      <c r="L120" s="226">
        <f t="shared" si="34"/>
        <v>0</v>
      </c>
      <c r="M120" s="226">
        <f t="shared" si="34"/>
        <v>0</v>
      </c>
      <c r="N120" s="226">
        <f t="shared" si="34"/>
        <v>0</v>
      </c>
      <c r="O120" s="226">
        <f t="shared" si="34"/>
        <v>0</v>
      </c>
      <c r="P120" s="226">
        <f t="shared" si="34"/>
        <v>0</v>
      </c>
      <c r="Q120" s="226">
        <f t="shared" si="34"/>
        <v>0</v>
      </c>
      <c r="R120" s="226">
        <f t="shared" si="34"/>
        <v>0</v>
      </c>
      <c r="S120" s="226">
        <f t="shared" si="34"/>
        <v>0</v>
      </c>
    </row>
    <row r="121" spans="7:19">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257</v>
      </c>
      <c r="H123" s="226">
        <f>IF(H122*MIN(ABS(H120),ABS(H121))&gt;1,0,H122*MIN(ABS(H120),ABS(H121)))</f>
        <v>0</v>
      </c>
      <c r="I123" s="226">
        <f t="shared" ref="I123:S123" si="37">IF(I122*MIN(ABS(I120),ABS(I121))&gt;1,0,I122*MIN(ABS(I120),ABS(I121)))</f>
        <v>0</v>
      </c>
      <c r="J123" s="226">
        <f t="shared" si="37"/>
        <v>0</v>
      </c>
      <c r="K123" s="226">
        <f t="shared" si="37"/>
        <v>0</v>
      </c>
      <c r="L123" s="226">
        <f t="shared" si="37"/>
        <v>0</v>
      </c>
      <c r="M123" s="226">
        <f t="shared" si="37"/>
        <v>0</v>
      </c>
      <c r="N123" s="226">
        <f t="shared" si="37"/>
        <v>0</v>
      </c>
      <c r="O123" s="226">
        <f t="shared" si="37"/>
        <v>0</v>
      </c>
      <c r="P123" s="226">
        <f t="shared" si="37"/>
        <v>0</v>
      </c>
      <c r="Q123" s="226">
        <f t="shared" si="37"/>
        <v>0</v>
      </c>
      <c r="R123" s="226">
        <f t="shared" si="37"/>
        <v>0</v>
      </c>
      <c r="S123" s="226">
        <f t="shared" si="37"/>
        <v>0</v>
      </c>
    </row>
    <row r="124" spans="7:19">
      <c r="G124" s="149"/>
    </row>
    <row r="125" spans="7:19">
      <c r="H125" s="144"/>
      <c r="I125" s="144"/>
      <c r="J125" s="144"/>
      <c r="K125" s="144"/>
      <c r="L125" s="144"/>
      <c r="M125" s="144"/>
      <c r="N125" s="144"/>
      <c r="O125" s="144"/>
      <c r="P125" s="144"/>
      <c r="Q125" s="144"/>
      <c r="R125" s="144"/>
      <c r="S125" s="144"/>
    </row>
    <row r="126" spans="7:19">
      <c r="H126" s="226"/>
      <c r="I126" s="226"/>
      <c r="J126" s="226"/>
      <c r="K126" s="226"/>
      <c r="L126" s="226"/>
      <c r="M126" s="226"/>
      <c r="N126" s="226"/>
      <c r="O126" s="226"/>
      <c r="P126" s="226"/>
      <c r="Q126" s="226"/>
      <c r="R126" s="226"/>
      <c r="S126" s="22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baseColWidth="10" defaultColWidth="11" defaultRowHeight="15" x14ac:dyDescent="0"/>
  <cols>
    <col min="1" max="1" width="45.33203125" style="81" customWidth="1"/>
    <col min="2" max="2" width="21.5" style="81" customWidth="1"/>
    <col min="3" max="3" width="40.16406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Loads'!A309</f>
        <v>CS 10</v>
      </c>
      <c r="B1" s="207" t="str">
        <f>'CSs and Loads'!A319</f>
        <v>Thing 10</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210"/>
      <c r="C4" s="82" t="s">
        <v>376</v>
      </c>
      <c r="D4" s="169"/>
      <c r="E4" s="360" t="s">
        <v>378</v>
      </c>
      <c r="F4" s="361"/>
      <c r="G4" s="361"/>
      <c r="H4" s="361"/>
      <c r="I4" s="361"/>
      <c r="J4" s="361"/>
      <c r="K4" s="361"/>
      <c r="L4" s="361"/>
      <c r="M4" s="362"/>
      <c r="N4" s="181"/>
      <c r="O4" s="211"/>
      <c r="P4" s="211"/>
      <c r="Q4" s="211"/>
      <c r="R4" s="211"/>
    </row>
    <row r="5" spans="1:18">
      <c r="A5" s="210"/>
      <c r="C5" s="102" t="s">
        <v>374</v>
      </c>
      <c r="D5" s="169">
        <v>25</v>
      </c>
      <c r="E5" s="182" t="s">
        <v>282</v>
      </c>
      <c r="F5" s="326" t="s">
        <v>285</v>
      </c>
      <c r="G5" s="147">
        <v>0</v>
      </c>
      <c r="H5" s="147">
        <v>0</v>
      </c>
      <c r="I5" s="147">
        <v>0</v>
      </c>
      <c r="J5" s="147">
        <v>0</v>
      </c>
      <c r="K5" s="147">
        <v>0</v>
      </c>
      <c r="L5" s="147">
        <v>0</v>
      </c>
      <c r="M5" s="183" t="s">
        <v>276</v>
      </c>
      <c r="N5" s="181"/>
      <c r="O5" s="211"/>
      <c r="P5" s="211"/>
      <c r="Q5" s="211"/>
      <c r="R5" s="211"/>
    </row>
    <row r="6" spans="1:18">
      <c r="A6" s="210"/>
      <c r="C6" s="102" t="s">
        <v>32</v>
      </c>
      <c r="D6" s="169">
        <f>1770*9.8</f>
        <v>17346</v>
      </c>
      <c r="E6" s="182" t="s">
        <v>283</v>
      </c>
      <c r="F6" s="326"/>
      <c r="G6" s="147">
        <v>0</v>
      </c>
      <c r="H6" s="147">
        <v>0</v>
      </c>
      <c r="I6" s="147">
        <v>0</v>
      </c>
      <c r="J6" s="147">
        <v>0</v>
      </c>
      <c r="K6" s="147">
        <v>0</v>
      </c>
      <c r="L6" s="147">
        <v>0</v>
      </c>
      <c r="M6" s="183" t="s">
        <v>277</v>
      </c>
      <c r="N6" s="181"/>
      <c r="O6" s="211"/>
      <c r="P6" s="211"/>
      <c r="Q6" s="211"/>
      <c r="R6" s="211"/>
    </row>
    <row r="7" spans="1:18">
      <c r="A7" s="210"/>
      <c r="C7" s="102" t="s">
        <v>243</v>
      </c>
      <c r="D7" s="169">
        <f>647*1000</f>
        <v>647000</v>
      </c>
      <c r="E7" s="182" t="s">
        <v>284</v>
      </c>
      <c r="F7" s="326"/>
      <c r="G7" s="147">
        <v>0</v>
      </c>
      <c r="H7" s="147">
        <v>0</v>
      </c>
      <c r="I7" s="147">
        <v>0</v>
      </c>
      <c r="J7" s="147">
        <v>0</v>
      </c>
      <c r="K7" s="147">
        <v>0</v>
      </c>
      <c r="L7" s="147">
        <v>0</v>
      </c>
      <c r="M7" s="183" t="s">
        <v>278</v>
      </c>
      <c r="N7" s="181"/>
      <c r="O7" s="211"/>
      <c r="P7" s="211"/>
      <c r="Q7" s="211"/>
      <c r="R7" s="211"/>
    </row>
    <row r="8" spans="1:18">
      <c r="A8" s="210"/>
      <c r="C8" s="102" t="s">
        <v>33</v>
      </c>
      <c r="D8" s="169">
        <v>3</v>
      </c>
      <c r="E8" s="182" t="s">
        <v>273</v>
      </c>
      <c r="F8" s="326"/>
      <c r="G8" s="147">
        <v>0</v>
      </c>
      <c r="H8" s="147">
        <v>0</v>
      </c>
      <c r="I8" s="147">
        <v>0</v>
      </c>
      <c r="J8" s="147">
        <v>0</v>
      </c>
      <c r="K8" s="147">
        <v>0</v>
      </c>
      <c r="L8" s="147">
        <v>0</v>
      </c>
      <c r="M8" s="183" t="s">
        <v>279</v>
      </c>
      <c r="N8" s="181"/>
      <c r="O8" s="211"/>
      <c r="P8" s="211"/>
      <c r="Q8" s="211"/>
      <c r="R8" s="211"/>
    </row>
    <row r="9" spans="1:18">
      <c r="A9" s="210"/>
      <c r="C9" s="102" t="s">
        <v>34</v>
      </c>
      <c r="D9" s="169">
        <v>0.01</v>
      </c>
      <c r="E9" s="182" t="s">
        <v>275</v>
      </c>
      <c r="F9" s="326"/>
      <c r="G9" s="147">
        <v>0</v>
      </c>
      <c r="H9" s="147">
        <v>0</v>
      </c>
      <c r="I9" s="147">
        <v>0</v>
      </c>
      <c r="J9" s="147">
        <v>0</v>
      </c>
      <c r="K9" s="147">
        <v>0</v>
      </c>
      <c r="L9" s="147">
        <v>0</v>
      </c>
      <c r="M9" s="183" t="s">
        <v>280</v>
      </c>
      <c r="N9" s="181"/>
      <c r="O9" s="211"/>
      <c r="P9" s="211"/>
      <c r="Q9" s="211"/>
      <c r="R9" s="211"/>
    </row>
    <row r="10" spans="1:18" ht="16" thickBot="1">
      <c r="A10" s="210"/>
      <c r="C10" s="102" t="s">
        <v>288</v>
      </c>
      <c r="D10" s="239">
        <f>D6/(D8*D9)</f>
        <v>578200</v>
      </c>
      <c r="E10" s="184" t="s">
        <v>274</v>
      </c>
      <c r="F10" s="359"/>
      <c r="G10" s="188">
        <v>0</v>
      </c>
      <c r="H10" s="188">
        <v>0</v>
      </c>
      <c r="I10" s="188">
        <v>0</v>
      </c>
      <c r="J10" s="188">
        <v>0</v>
      </c>
      <c r="K10" s="188">
        <v>0</v>
      </c>
      <c r="L10" s="188">
        <v>0</v>
      </c>
      <c r="M10" s="187" t="s">
        <v>281</v>
      </c>
      <c r="N10" s="181"/>
      <c r="O10" s="211"/>
      <c r="P10" s="211"/>
      <c r="Q10" s="211"/>
      <c r="R10" s="211"/>
    </row>
    <row r="11" spans="1:18">
      <c r="A11" s="210"/>
      <c r="C11" s="102" t="s">
        <v>35</v>
      </c>
      <c r="D11" s="82">
        <v>25</v>
      </c>
      <c r="E11" s="163"/>
      <c r="F11" s="163"/>
      <c r="G11" s="163"/>
      <c r="H11" s="163"/>
      <c r="I11" s="163"/>
      <c r="J11" s="163"/>
      <c r="K11" s="163"/>
      <c r="L11" s="163"/>
      <c r="M11" s="163"/>
      <c r="O11" s="211"/>
      <c r="P11" s="211"/>
      <c r="Q11" s="211"/>
      <c r="R11" s="211"/>
    </row>
    <row r="12" spans="1:18">
      <c r="A12" s="210"/>
      <c r="C12" s="102" t="s">
        <v>386</v>
      </c>
      <c r="D12" s="101">
        <f>D7*D11^2/4</f>
        <v>101093750</v>
      </c>
      <c r="O12" s="211"/>
      <c r="P12" s="211"/>
      <c r="Q12" s="211"/>
      <c r="R12" s="211"/>
    </row>
    <row r="13" spans="1:18">
      <c r="A13" s="210"/>
      <c r="C13" s="102" t="s">
        <v>289</v>
      </c>
      <c r="D13" s="101">
        <f>D7*D11^2/12</f>
        <v>33697916.666666664</v>
      </c>
      <c r="O13" s="211"/>
      <c r="P13" s="211"/>
      <c r="Q13" s="211"/>
      <c r="R13" s="211"/>
    </row>
    <row r="14" spans="1:18">
      <c r="A14" s="210"/>
      <c r="C14" s="102" t="s">
        <v>290</v>
      </c>
      <c r="D14" s="97">
        <f>D13</f>
        <v>33697916.666666664</v>
      </c>
      <c r="O14" s="211"/>
      <c r="P14" s="211"/>
      <c r="Q14" s="211"/>
      <c r="R14" s="211"/>
    </row>
    <row r="15" spans="1:18">
      <c r="A15" s="210"/>
      <c r="C15" s="114" t="s">
        <v>375</v>
      </c>
      <c r="D15" s="82"/>
      <c r="O15" s="211"/>
      <c r="P15" s="211"/>
      <c r="Q15" s="211"/>
      <c r="R15" s="211"/>
    </row>
    <row r="16" spans="1:18">
      <c r="A16" s="210"/>
      <c r="C16" s="115" t="s">
        <v>267</v>
      </c>
      <c r="D16" s="82"/>
      <c r="O16" s="211"/>
      <c r="P16" s="211"/>
      <c r="Q16" s="211"/>
      <c r="R16" s="211"/>
    </row>
    <row r="17" spans="1:19">
      <c r="A17" s="210"/>
      <c r="C17" s="116" t="s">
        <v>269</v>
      </c>
      <c r="D17" s="82">
        <v>18</v>
      </c>
      <c r="O17" s="211"/>
      <c r="P17" s="211"/>
      <c r="Q17" s="211"/>
      <c r="R17" s="211"/>
    </row>
    <row r="18" spans="1:19">
      <c r="A18" s="210"/>
      <c r="C18" s="116" t="s">
        <v>234</v>
      </c>
      <c r="D18" s="82">
        <v>2500</v>
      </c>
      <c r="O18" s="211"/>
      <c r="P18" s="211"/>
      <c r="Q18" s="211"/>
      <c r="R18" s="211"/>
    </row>
    <row r="19" spans="1:19">
      <c r="A19" s="210"/>
      <c r="C19" s="102" t="s">
        <v>54</v>
      </c>
      <c r="D19" s="117">
        <v>200000</v>
      </c>
      <c r="O19" s="211"/>
      <c r="P19" s="211"/>
      <c r="Q19" s="211"/>
      <c r="R19" s="211"/>
    </row>
    <row r="20" spans="1:19">
      <c r="A20" s="210"/>
      <c r="C20" s="116" t="s">
        <v>268</v>
      </c>
      <c r="D20" s="98">
        <f>PI()*D17^2/4*D19/D18</f>
        <v>20357.520395261861</v>
      </c>
      <c r="O20" s="211"/>
      <c r="P20" s="211"/>
      <c r="Q20" s="211"/>
      <c r="R20" s="211"/>
    </row>
    <row r="21" spans="1:19" ht="16" thickBot="1">
      <c r="A21" s="240"/>
      <c r="B21" s="176"/>
      <c r="C21" s="241" t="s">
        <v>320</v>
      </c>
      <c r="D21" s="231">
        <v>3</v>
      </c>
      <c r="E21" s="176"/>
      <c r="F21" s="176"/>
      <c r="G21" s="176"/>
      <c r="H21" s="176"/>
      <c r="I21" s="176"/>
      <c r="J21" s="176"/>
      <c r="K21" s="176"/>
      <c r="L21" s="176"/>
      <c r="M21" s="176"/>
      <c r="O21" s="211"/>
      <c r="P21" s="211"/>
      <c r="Q21" s="211"/>
      <c r="R21" s="211"/>
    </row>
    <row r="22" spans="1:19" ht="16" thickBot="1">
      <c r="A22" s="363" t="s">
        <v>380</v>
      </c>
      <c r="B22" s="364"/>
      <c r="C22" s="364"/>
      <c r="D22" s="364"/>
      <c r="E22" s="364"/>
      <c r="F22" s="364"/>
      <c r="G22" s="364"/>
      <c r="H22" s="364"/>
      <c r="I22" s="364"/>
      <c r="J22" s="364"/>
      <c r="K22" s="364"/>
      <c r="L22" s="364"/>
      <c r="M22" s="365"/>
      <c r="N22" s="181"/>
      <c r="O22" s="211"/>
      <c r="P22" s="211"/>
      <c r="Q22" s="211"/>
      <c r="R22" s="211"/>
    </row>
    <row r="23" spans="1:19" ht="30">
      <c r="A23" s="274" t="s">
        <v>381</v>
      </c>
      <c r="B23" s="234"/>
      <c r="C23" s="242" t="s">
        <v>265</v>
      </c>
      <c r="D23" s="163"/>
      <c r="E23" s="163"/>
      <c r="F23" s="163"/>
      <c r="G23" s="163"/>
      <c r="H23" s="163"/>
      <c r="I23" s="163"/>
      <c r="J23" s="163"/>
      <c r="K23" s="163"/>
      <c r="L23" s="163"/>
      <c r="M23" s="163"/>
      <c r="O23" s="211"/>
      <c r="P23" s="211"/>
      <c r="Q23" s="211"/>
      <c r="R23" s="211"/>
    </row>
    <row r="24" spans="1:19">
      <c r="A24" s="102" t="s">
        <v>3</v>
      </c>
      <c r="B24" s="107"/>
      <c r="C24" s="154"/>
      <c r="O24" s="211"/>
      <c r="P24" s="211"/>
      <c r="Q24" s="211"/>
      <c r="R24" s="211"/>
    </row>
    <row r="25" spans="1:19">
      <c r="A25" s="219" t="s">
        <v>117</v>
      </c>
      <c r="B25" s="152">
        <f>SUM(H35:S35)+C25</f>
        <v>6785.8401317539538</v>
      </c>
      <c r="C25" s="238">
        <f>D20/D21</f>
        <v>6785.8401317539538</v>
      </c>
      <c r="O25" s="211"/>
      <c r="P25" s="211"/>
      <c r="Q25" s="211"/>
      <c r="R25" s="211"/>
    </row>
    <row r="26" spans="1:19">
      <c r="A26" s="219" t="s">
        <v>118</v>
      </c>
      <c r="B26" s="152">
        <f>SUM(H36:S36)+C26</f>
        <v>2588000</v>
      </c>
      <c r="C26" s="220">
        <v>0</v>
      </c>
      <c r="G26" s="244" t="s">
        <v>185</v>
      </c>
      <c r="O26" s="211"/>
      <c r="P26" s="211"/>
      <c r="Q26" s="211"/>
      <c r="R26" s="211"/>
    </row>
    <row r="27" spans="1:19">
      <c r="A27" s="219" t="s">
        <v>119</v>
      </c>
      <c r="B27" s="152">
        <f>SUM(H37:S37)+C27</f>
        <v>2588000</v>
      </c>
      <c r="C27" s="220">
        <v>0</v>
      </c>
      <c r="G27" s="82" t="s">
        <v>124</v>
      </c>
      <c r="O27" s="211"/>
      <c r="P27" s="211"/>
      <c r="Q27" s="211"/>
      <c r="R27" s="211"/>
    </row>
    <row r="28" spans="1:19">
      <c r="A28" s="102" t="s">
        <v>115</v>
      </c>
      <c r="B28" s="107"/>
      <c r="C28" s="200"/>
      <c r="D28" s="87"/>
      <c r="E28" s="87"/>
      <c r="F28" s="87"/>
      <c r="G28" s="214" t="s">
        <v>133</v>
      </c>
      <c r="H28" s="215">
        <v>4</v>
      </c>
      <c r="O28" s="211"/>
      <c r="P28" s="211"/>
      <c r="Q28" s="211"/>
      <c r="R28" s="211"/>
    </row>
    <row r="29" spans="1:19">
      <c r="A29" s="219" t="s">
        <v>8</v>
      </c>
      <c r="B29" s="152">
        <f>SUM(H39:S39)+SUM(H43:S43)+C29</f>
        <v>6874375000</v>
      </c>
      <c r="C29" s="220">
        <v>0</v>
      </c>
      <c r="D29" s="87"/>
      <c r="E29" s="87"/>
      <c r="F29" s="87"/>
      <c r="H29" s="347" t="s">
        <v>129</v>
      </c>
      <c r="I29" s="347"/>
      <c r="J29" s="347"/>
      <c r="K29" s="347"/>
      <c r="L29" s="347"/>
      <c r="M29" s="347"/>
      <c r="N29" s="347"/>
      <c r="O29" s="347"/>
      <c r="P29" s="347"/>
      <c r="Q29" s="347"/>
      <c r="R29" s="347"/>
      <c r="S29" s="347"/>
    </row>
    <row r="30" spans="1:19">
      <c r="A30" s="219" t="s">
        <v>120</v>
      </c>
      <c r="B30" s="152">
        <f>SUM(H40:S40)+SUM(H44:S44)+C30</f>
        <v>6604791666.666667</v>
      </c>
      <c r="C30" s="220">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19" t="s">
        <v>116</v>
      </c>
      <c r="B31" s="152">
        <f>SUM(H41:S41)+SUM(H45:S45)+C31</f>
        <v>6604791666.666667</v>
      </c>
      <c r="C31" s="220">
        <v>0</v>
      </c>
      <c r="D31" s="87"/>
      <c r="E31" s="87"/>
      <c r="F31" s="87"/>
      <c r="G31" s="102" t="s">
        <v>42</v>
      </c>
      <c r="H31" s="215">
        <v>50</v>
      </c>
      <c r="I31" s="215">
        <v>-50</v>
      </c>
      <c r="J31" s="215">
        <v>-50</v>
      </c>
      <c r="K31" s="215">
        <v>50</v>
      </c>
      <c r="L31" s="215">
        <v>0</v>
      </c>
      <c r="M31" s="215">
        <v>0</v>
      </c>
      <c r="N31" s="215">
        <v>0</v>
      </c>
      <c r="O31" s="215">
        <v>0</v>
      </c>
      <c r="P31" s="215">
        <v>0</v>
      </c>
      <c r="Q31" s="215">
        <v>0</v>
      </c>
      <c r="R31" s="215">
        <v>0</v>
      </c>
      <c r="S31" s="215">
        <v>0</v>
      </c>
    </row>
    <row r="32" spans="1:19">
      <c r="A32" s="348" t="s">
        <v>190</v>
      </c>
      <c r="B32" s="348"/>
      <c r="C32" s="348"/>
      <c r="D32" s="87"/>
      <c r="E32" s="87"/>
      <c r="F32" s="87"/>
      <c r="G32" s="102" t="s">
        <v>43</v>
      </c>
      <c r="H32" s="215">
        <v>0</v>
      </c>
      <c r="I32" s="215">
        <v>0</v>
      </c>
      <c r="J32" s="215">
        <v>0</v>
      </c>
      <c r="K32" s="215">
        <v>0</v>
      </c>
      <c r="L32" s="215">
        <v>0</v>
      </c>
      <c r="M32" s="215">
        <v>0</v>
      </c>
      <c r="N32" s="215">
        <v>0</v>
      </c>
      <c r="O32" s="215">
        <v>0</v>
      </c>
      <c r="P32" s="215">
        <v>0</v>
      </c>
      <c r="Q32" s="215">
        <v>0</v>
      </c>
      <c r="R32" s="215">
        <v>0</v>
      </c>
      <c r="S32" s="215">
        <v>0</v>
      </c>
    </row>
    <row r="33" spans="1:19">
      <c r="A33" s="348"/>
      <c r="B33" s="348"/>
      <c r="C33" s="348"/>
      <c r="D33" s="87"/>
      <c r="E33" s="87"/>
      <c r="F33" s="87"/>
      <c r="G33" s="102" t="s">
        <v>44</v>
      </c>
      <c r="H33" s="215">
        <v>50</v>
      </c>
      <c r="I33" s="215">
        <v>50</v>
      </c>
      <c r="J33" s="215">
        <v>-50</v>
      </c>
      <c r="K33" s="215">
        <v>-50</v>
      </c>
      <c r="L33" s="215">
        <v>0</v>
      </c>
      <c r="M33" s="215">
        <v>0</v>
      </c>
      <c r="N33" s="215">
        <v>0</v>
      </c>
      <c r="O33" s="215">
        <v>0</v>
      </c>
      <c r="P33" s="215">
        <v>0</v>
      </c>
      <c r="Q33" s="215">
        <v>0</v>
      </c>
      <c r="R33" s="215">
        <v>0</v>
      </c>
      <c r="S33" s="215">
        <v>0</v>
      </c>
    </row>
    <row r="34" spans="1:19">
      <c r="A34" s="348"/>
      <c r="B34" s="348"/>
      <c r="C34" s="348"/>
      <c r="G34" s="82" t="s">
        <v>130</v>
      </c>
      <c r="H34" s="349"/>
      <c r="I34" s="349"/>
      <c r="J34" s="349"/>
      <c r="K34" s="349"/>
    </row>
    <row r="35" spans="1:19">
      <c r="A35" s="222" t="s">
        <v>186</v>
      </c>
      <c r="B35" s="215"/>
      <c r="C35" s="215"/>
      <c r="D35" s="87"/>
      <c r="E35" s="87"/>
      <c r="F35" s="87"/>
      <c r="G35" s="102" t="s">
        <v>117</v>
      </c>
      <c r="H35" s="142">
        <v>0</v>
      </c>
      <c r="I35" s="142">
        <v>0</v>
      </c>
      <c r="J35" s="142">
        <v>0</v>
      </c>
      <c r="K35" s="142">
        <v>0</v>
      </c>
      <c r="L35" s="215">
        <v>0</v>
      </c>
      <c r="M35" s="215">
        <v>0</v>
      </c>
      <c r="N35" s="215">
        <v>0</v>
      </c>
      <c r="O35" s="215">
        <v>0</v>
      </c>
      <c r="P35" s="215">
        <v>0</v>
      </c>
      <c r="Q35" s="215">
        <v>0</v>
      </c>
      <c r="R35" s="215">
        <v>0</v>
      </c>
      <c r="S35" s="215">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5">
        <v>0</v>
      </c>
      <c r="M36" s="215">
        <v>0</v>
      </c>
      <c r="N36" s="215">
        <v>0</v>
      </c>
      <c r="O36" s="215">
        <v>0</v>
      </c>
      <c r="P36" s="215">
        <v>0</v>
      </c>
      <c r="Q36" s="215">
        <v>0</v>
      </c>
      <c r="R36" s="215">
        <v>0</v>
      </c>
      <c r="S36" s="215">
        <v>0</v>
      </c>
    </row>
    <row r="37" spans="1:19">
      <c r="A37" s="102" t="s">
        <v>187</v>
      </c>
      <c r="B37" s="215">
        <v>0</v>
      </c>
      <c r="D37" s="87"/>
      <c r="E37" s="87"/>
      <c r="F37" s="87"/>
      <c r="G37" s="102" t="s">
        <v>119</v>
      </c>
      <c r="H37" s="142">
        <f>H36</f>
        <v>647000</v>
      </c>
      <c r="I37" s="142">
        <f t="shared" ref="I37:K37" si="2">I36</f>
        <v>647000</v>
      </c>
      <c r="J37" s="142">
        <f t="shared" si="2"/>
        <v>647000</v>
      </c>
      <c r="K37" s="142">
        <f t="shared" si="2"/>
        <v>647000</v>
      </c>
      <c r="L37" s="215">
        <v>0</v>
      </c>
      <c r="M37" s="215">
        <v>0</v>
      </c>
      <c r="N37" s="215">
        <v>0</v>
      </c>
      <c r="O37" s="215">
        <v>0</v>
      </c>
      <c r="P37" s="215">
        <v>0</v>
      </c>
      <c r="Q37" s="215">
        <v>0</v>
      </c>
      <c r="R37" s="215">
        <v>0</v>
      </c>
      <c r="S37" s="215">
        <v>0</v>
      </c>
    </row>
    <row r="38" spans="1:19">
      <c r="A38" s="102" t="s">
        <v>188</v>
      </c>
      <c r="B38" s="215">
        <v>0</v>
      </c>
      <c r="D38" s="87"/>
      <c r="E38" s="87"/>
      <c r="F38" s="87"/>
      <c r="G38" s="82" t="s">
        <v>131</v>
      </c>
      <c r="H38" s="349"/>
      <c r="I38" s="349"/>
      <c r="J38" s="349"/>
      <c r="K38" s="349"/>
    </row>
    <row r="39" spans="1:19">
      <c r="A39" s="102" t="s">
        <v>189</v>
      </c>
      <c r="B39" s="215">
        <v>0</v>
      </c>
      <c r="D39" s="87"/>
      <c r="E39" s="87"/>
      <c r="F39" s="87"/>
      <c r="G39" s="102" t="s">
        <v>8</v>
      </c>
      <c r="H39" s="142">
        <f>'ref bearings, servo, structure'!B10</f>
        <v>101093750</v>
      </c>
      <c r="I39" s="142">
        <f>H39</f>
        <v>101093750</v>
      </c>
      <c r="J39" s="142">
        <f t="shared" ref="J39:K39" si="3">I39</f>
        <v>101093750</v>
      </c>
      <c r="K39" s="142">
        <f t="shared" si="3"/>
        <v>101093750</v>
      </c>
      <c r="L39" s="215">
        <v>0</v>
      </c>
      <c r="M39" s="215">
        <v>0</v>
      </c>
      <c r="N39" s="215">
        <v>0</v>
      </c>
      <c r="O39" s="215">
        <v>0</v>
      </c>
      <c r="P39" s="215">
        <v>0</v>
      </c>
      <c r="Q39" s="215">
        <v>0</v>
      </c>
      <c r="R39" s="215">
        <v>0</v>
      </c>
      <c r="S39" s="215">
        <v>0</v>
      </c>
    </row>
    <row r="40" spans="1:19">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5">
        <v>0</v>
      </c>
      <c r="M40" s="215">
        <v>0</v>
      </c>
      <c r="N40" s="215">
        <v>0</v>
      </c>
      <c r="O40" s="215">
        <v>0</v>
      </c>
      <c r="P40" s="215">
        <v>0</v>
      </c>
      <c r="Q40" s="215">
        <v>0</v>
      </c>
      <c r="R40" s="215">
        <v>0</v>
      </c>
      <c r="S40" s="215">
        <v>0</v>
      </c>
    </row>
    <row r="41" spans="1:19">
      <c r="A41" s="102" t="s">
        <v>187</v>
      </c>
      <c r="B41" s="215">
        <v>0</v>
      </c>
      <c r="G41" s="102" t="s">
        <v>116</v>
      </c>
      <c r="H41" s="142">
        <f>'ref bearings, servo, structure'!B11</f>
        <v>33697916.666666664</v>
      </c>
      <c r="I41" s="142">
        <f t="shared" si="4"/>
        <v>33697916.666666664</v>
      </c>
      <c r="J41" s="142">
        <f t="shared" si="4"/>
        <v>33697916.666666664</v>
      </c>
      <c r="K41" s="142">
        <f t="shared" si="4"/>
        <v>33697916.666666664</v>
      </c>
      <c r="L41" s="215">
        <v>0</v>
      </c>
      <c r="M41" s="215">
        <v>0</v>
      </c>
      <c r="N41" s="215">
        <v>0</v>
      </c>
      <c r="O41" s="215">
        <v>0</v>
      </c>
      <c r="P41" s="215">
        <v>0</v>
      </c>
      <c r="Q41" s="215">
        <v>0</v>
      </c>
      <c r="R41" s="215">
        <v>0</v>
      </c>
      <c r="S41" s="215">
        <v>0</v>
      </c>
    </row>
    <row r="42" spans="1:19">
      <c r="A42" s="102" t="s">
        <v>188</v>
      </c>
      <c r="B42" s="215">
        <v>0</v>
      </c>
      <c r="D42" s="218"/>
      <c r="E42" s="218"/>
      <c r="F42" s="218"/>
      <c r="G42" s="82" t="s">
        <v>125</v>
      </c>
    </row>
    <row r="43" spans="1:19">
      <c r="A43" s="102" t="s">
        <v>189</v>
      </c>
      <c r="B43" s="215">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6" t="s">
        <v>207</v>
      </c>
      <c r="D44" s="220"/>
      <c r="E44" s="220"/>
      <c r="F44" s="220"/>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0"/>
      <c r="E45" s="220"/>
      <c r="F45" s="220"/>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0"/>
      <c r="E46" s="220"/>
      <c r="F46" s="220"/>
      <c r="G46" s="82" t="s">
        <v>307</v>
      </c>
    </row>
    <row r="47" spans="1:19">
      <c r="A47" s="102" t="s">
        <v>123</v>
      </c>
      <c r="B47" s="105">
        <f t="shared" si="8"/>
        <v>5.0000000000000001E-3</v>
      </c>
      <c r="C47" s="87"/>
      <c r="D47" s="200"/>
      <c r="E47" s="200"/>
      <c r="F47" s="200"/>
      <c r="G47" s="102" t="s">
        <v>121</v>
      </c>
      <c r="H47" s="215">
        <f t="shared" ref="H47:K49" si="9">0.005</f>
        <v>5.0000000000000001E-3</v>
      </c>
      <c r="I47" s="215">
        <f t="shared" si="9"/>
        <v>5.0000000000000001E-3</v>
      </c>
      <c r="J47" s="215">
        <f t="shared" si="9"/>
        <v>5.0000000000000001E-3</v>
      </c>
      <c r="K47" s="215">
        <f t="shared" si="9"/>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1.0000000000000007E-4</v>
      </c>
      <c r="C48" s="87"/>
      <c r="D48" s="220"/>
      <c r="E48" s="220"/>
      <c r="F48" s="220"/>
      <c r="G48" s="102" t="s">
        <v>122</v>
      </c>
      <c r="H48" s="215">
        <f t="shared" si="9"/>
        <v>5.0000000000000001E-3</v>
      </c>
      <c r="I48" s="215">
        <f t="shared" si="9"/>
        <v>5.0000000000000001E-3</v>
      </c>
      <c r="J48" s="215">
        <f t="shared" si="9"/>
        <v>5.0000000000000001E-3</v>
      </c>
      <c r="K48" s="215">
        <f t="shared" si="9"/>
        <v>5.0000000000000001E-3</v>
      </c>
      <c r="L48" s="215">
        <v>0</v>
      </c>
      <c r="M48" s="215">
        <v>0</v>
      </c>
      <c r="N48" s="215">
        <v>0</v>
      </c>
      <c r="O48" s="215">
        <v>0</v>
      </c>
      <c r="P48" s="215">
        <v>0</v>
      </c>
      <c r="Q48" s="215">
        <v>0</v>
      </c>
      <c r="R48" s="215">
        <v>0</v>
      </c>
      <c r="S48" s="215">
        <v>0</v>
      </c>
    </row>
    <row r="49" spans="1:20">
      <c r="A49" s="102" t="s">
        <v>86</v>
      </c>
      <c r="B49" s="105">
        <f>SQRT((H52^2+I52^2+J52^2+K52^2+L52^2+M52^2+N52^2+O52^2+P52^2+Q52^2+R52^2+S52^2+B38^2)/H$28)</f>
        <v>9.9999999000000077E-5</v>
      </c>
      <c r="C49" s="87"/>
      <c r="D49" s="220"/>
      <c r="E49" s="220"/>
      <c r="F49" s="220"/>
      <c r="G49" s="102" t="s">
        <v>123</v>
      </c>
      <c r="H49" s="215">
        <f t="shared" si="9"/>
        <v>5.0000000000000001E-3</v>
      </c>
      <c r="I49" s="215">
        <f t="shared" si="9"/>
        <v>5.0000000000000001E-3</v>
      </c>
      <c r="J49" s="215">
        <f t="shared" si="9"/>
        <v>5.0000000000000001E-3</v>
      </c>
      <c r="K49" s="215">
        <f t="shared" si="9"/>
        <v>5.0000000000000001E-3</v>
      </c>
      <c r="L49" s="215">
        <v>0</v>
      </c>
      <c r="M49" s="215">
        <v>0</v>
      </c>
      <c r="N49" s="215">
        <v>0</v>
      </c>
      <c r="O49" s="215">
        <v>0</v>
      </c>
      <c r="P49" s="215">
        <v>0</v>
      </c>
      <c r="Q49" s="215">
        <v>0</v>
      </c>
      <c r="R49" s="215">
        <v>0</v>
      </c>
      <c r="S49" s="215">
        <v>0</v>
      </c>
    </row>
    <row r="50" spans="1:20">
      <c r="A50" s="102" t="s">
        <v>87</v>
      </c>
      <c r="B50" s="105">
        <f>SQRT((H53^2+I53^2+J53^2+K53^2+L53^2+M53^2+N53^2+O53^2+P53^2+Q53^2+R53^2+S53^2+B39^2)/H$28)</f>
        <v>1.0000000000000007E-4</v>
      </c>
      <c r="C50" s="87"/>
      <c r="D50" s="220"/>
      <c r="E50" s="220"/>
      <c r="F50" s="220"/>
      <c r="G50" s="82" t="s">
        <v>252</v>
      </c>
    </row>
    <row r="51" spans="1:20" ht="45">
      <c r="A51" s="217" t="s">
        <v>208</v>
      </c>
      <c r="B51" s="107"/>
      <c r="D51" s="221"/>
      <c r="E51" s="221"/>
      <c r="F51" s="221"/>
      <c r="G51" s="102" t="s">
        <v>85</v>
      </c>
      <c r="H51" s="152">
        <f>H98</f>
        <v>9.9999998000000053E-5</v>
      </c>
      <c r="I51" s="152">
        <f t="shared" ref="I51:S51" si="10">I98</f>
        <v>9.9999998000000053E-5</v>
      </c>
      <c r="J51" s="152">
        <f t="shared" si="10"/>
        <v>1.0000000200000004E-4</v>
      </c>
      <c r="K51" s="152">
        <f t="shared" si="10"/>
        <v>1.0000000200000004E-4</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c r="A52" s="102" t="s">
        <v>121</v>
      </c>
      <c r="B52" s="105">
        <f>SQRT((H55^2+I55^2+J55^2+K55^2+L55^2+M55^2+N55^2+O55^2+P55^2+Q55^2+R55^2+S55^2)/H$28)</f>
        <v>0</v>
      </c>
      <c r="C52" s="87"/>
      <c r="D52" s="221"/>
      <c r="E52" s="221"/>
      <c r="F52" s="221"/>
      <c r="G52" s="102" t="s">
        <v>86</v>
      </c>
      <c r="H52" s="152">
        <f>H102</f>
        <v>9.9999998000000053E-5</v>
      </c>
      <c r="I52" s="152">
        <f t="shared" ref="I52:S52" si="11">I102</f>
        <v>9.9999998000000053E-5</v>
      </c>
      <c r="J52" s="152">
        <f t="shared" si="11"/>
        <v>1.0000000200000004E-4</v>
      </c>
      <c r="K52" s="152">
        <f t="shared" si="11"/>
        <v>9.9999998000000053E-5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c r="A53" s="102" t="s">
        <v>122</v>
      </c>
      <c r="B53" s="105">
        <f t="shared" ref="B53:B54" si="12">SQRT((H56^2+I56^2+J56^2+K56^2+L56^2+M56^2+N56^2+O56^2+P56^2+Q56^2+R56^2+S56^2)/H$28)</f>
        <v>0</v>
      </c>
      <c r="C53" s="87"/>
      <c r="D53" s="221"/>
      <c r="E53" s="221"/>
      <c r="F53" s="221"/>
      <c r="G53" s="102" t="s">
        <v>87</v>
      </c>
      <c r="H53" s="152">
        <f>H106</f>
        <v>9.9999998000000053E-5</v>
      </c>
      <c r="I53" s="152">
        <f t="shared" ref="I53:S53" si="13">I106</f>
        <v>1.0000000200000004E-4</v>
      </c>
      <c r="J53" s="152">
        <f t="shared" si="13"/>
        <v>1.0000000200000004E-4</v>
      </c>
      <c r="K53" s="152">
        <f t="shared" si="13"/>
        <v>9.9999998000000053E-5</v>
      </c>
      <c r="L53" s="152">
        <f t="shared" si="13"/>
        <v>0</v>
      </c>
      <c r="M53" s="152">
        <f t="shared" si="13"/>
        <v>0</v>
      </c>
      <c r="N53" s="152">
        <f t="shared" si="13"/>
        <v>0</v>
      </c>
      <c r="O53" s="152">
        <f t="shared" si="13"/>
        <v>0</v>
      </c>
      <c r="P53" s="152">
        <f t="shared" si="13"/>
        <v>0</v>
      </c>
      <c r="Q53" s="152">
        <f t="shared" si="13"/>
        <v>0</v>
      </c>
      <c r="R53" s="152">
        <f t="shared" si="13"/>
        <v>0</v>
      </c>
      <c r="S53" s="152">
        <f t="shared" si="13"/>
        <v>0</v>
      </c>
    </row>
    <row r="54" spans="1:20">
      <c r="A54" s="102" t="s">
        <v>123</v>
      </c>
      <c r="B54" s="105">
        <f t="shared" si="12"/>
        <v>0</v>
      </c>
      <c r="C54" s="87"/>
      <c r="D54" s="215"/>
      <c r="E54" s="215"/>
      <c r="F54" s="215"/>
      <c r="G54" s="82" t="s">
        <v>333</v>
      </c>
    </row>
    <row r="55" spans="1:20">
      <c r="A55" s="102" t="s">
        <v>85</v>
      </c>
      <c r="B55" s="105">
        <f>SQRT((H59^2+I59^2+J59^2+K59^2+L59^2+M59^2+N59^2+O59^2+P59^2+Q59^2+R59^2+S59^2+B41^2)/H$28)</f>
        <v>0</v>
      </c>
      <c r="C55" s="87"/>
      <c r="G55" s="102" t="s">
        <v>121</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SQRT((H60^2+I60^2+J60^2+K60^2+L60^2+M60^2+N60^2+O60^2+P60^2+Q60^2+R60^2+S60^2+B42^2)/H$28)</f>
        <v>0</v>
      </c>
      <c r="C56" s="87"/>
      <c r="G56" s="102" t="s">
        <v>122</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SQRT((H61^2+I61^2+J61^2+K61^2+L61^2+M61^2+N61^2+O61^2+P61^2+Q61^2+R61^2+S61^2+B43^2)/H$28)</f>
        <v>0</v>
      </c>
      <c r="C57" s="87"/>
      <c r="G57" s="102" t="s">
        <v>123</v>
      </c>
      <c r="H57" s="215">
        <v>0</v>
      </c>
      <c r="I57" s="215">
        <v>0</v>
      </c>
      <c r="J57" s="215">
        <v>0</v>
      </c>
      <c r="K57" s="215">
        <v>0</v>
      </c>
      <c r="L57" s="215">
        <v>0</v>
      </c>
      <c r="M57" s="215">
        <v>0</v>
      </c>
      <c r="N57" s="215">
        <v>0</v>
      </c>
      <c r="O57" s="215">
        <v>0</v>
      </c>
      <c r="P57" s="215">
        <v>0</v>
      </c>
      <c r="Q57" s="215">
        <v>0</v>
      </c>
      <c r="R57" s="215">
        <v>0</v>
      </c>
      <c r="S57" s="215">
        <v>0</v>
      </c>
    </row>
    <row r="58" spans="1:20">
      <c r="B58" s="107"/>
      <c r="G58" s="82" t="s">
        <v>253</v>
      </c>
    </row>
    <row r="59" spans="1:20">
      <c r="G59" s="102" t="s">
        <v>85</v>
      </c>
      <c r="H59" s="223">
        <f>H113</f>
        <v>0</v>
      </c>
      <c r="I59" s="223">
        <f t="shared" ref="I59:S59" si="14">I113</f>
        <v>0</v>
      </c>
      <c r="J59" s="223">
        <f t="shared" si="14"/>
        <v>0</v>
      </c>
      <c r="K59" s="223">
        <f t="shared" si="14"/>
        <v>0</v>
      </c>
      <c r="L59" s="223">
        <f t="shared" si="14"/>
        <v>0</v>
      </c>
      <c r="M59" s="223">
        <f t="shared" si="14"/>
        <v>0</v>
      </c>
      <c r="N59" s="223">
        <f t="shared" si="14"/>
        <v>0</v>
      </c>
      <c r="O59" s="223">
        <f t="shared" si="14"/>
        <v>0</v>
      </c>
      <c r="P59" s="223">
        <f t="shared" si="14"/>
        <v>0</v>
      </c>
      <c r="Q59" s="223">
        <f t="shared" si="14"/>
        <v>0</v>
      </c>
      <c r="R59" s="223">
        <f t="shared" si="14"/>
        <v>0</v>
      </c>
      <c r="S59" s="223">
        <f t="shared" si="14"/>
        <v>0</v>
      </c>
    </row>
    <row r="60" spans="1:20">
      <c r="G60" s="102" t="s">
        <v>86</v>
      </c>
      <c r="H60" s="223">
        <f>H118</f>
        <v>0</v>
      </c>
      <c r="I60" s="223">
        <f t="shared" ref="I60:S60" si="15">I118</f>
        <v>0</v>
      </c>
      <c r="J60" s="223">
        <f t="shared" si="15"/>
        <v>0</v>
      </c>
      <c r="K60" s="223">
        <f t="shared" si="15"/>
        <v>0</v>
      </c>
      <c r="L60" s="223">
        <f t="shared" si="15"/>
        <v>0</v>
      </c>
      <c r="M60" s="223">
        <f t="shared" si="15"/>
        <v>0</v>
      </c>
      <c r="N60" s="223">
        <f t="shared" si="15"/>
        <v>0</v>
      </c>
      <c r="O60" s="223">
        <f t="shared" si="15"/>
        <v>0</v>
      </c>
      <c r="P60" s="223">
        <f t="shared" si="15"/>
        <v>0</v>
      </c>
      <c r="Q60" s="223">
        <f t="shared" si="15"/>
        <v>0</v>
      </c>
      <c r="R60" s="223">
        <f t="shared" si="15"/>
        <v>0</v>
      </c>
      <c r="S60" s="223">
        <f t="shared" si="15"/>
        <v>0</v>
      </c>
    </row>
    <row r="61" spans="1:20">
      <c r="G61" s="102" t="s">
        <v>87</v>
      </c>
      <c r="H61" s="223">
        <f>H123</f>
        <v>0</v>
      </c>
      <c r="I61" s="223">
        <f t="shared" ref="I61:S61" si="16">I123</f>
        <v>0</v>
      </c>
      <c r="J61" s="223">
        <f t="shared" si="16"/>
        <v>0</v>
      </c>
      <c r="K61" s="223">
        <f t="shared" si="16"/>
        <v>0</v>
      </c>
      <c r="L61" s="223">
        <f t="shared" si="16"/>
        <v>0</v>
      </c>
      <c r="M61" s="223">
        <f t="shared" si="16"/>
        <v>0</v>
      </c>
      <c r="N61" s="223">
        <f t="shared" si="16"/>
        <v>0</v>
      </c>
      <c r="O61" s="223">
        <f t="shared" si="16"/>
        <v>0</v>
      </c>
      <c r="P61" s="223">
        <f t="shared" si="16"/>
        <v>0</v>
      </c>
      <c r="Q61" s="223">
        <f t="shared" si="16"/>
        <v>0</v>
      </c>
      <c r="R61" s="223">
        <f t="shared" si="16"/>
        <v>0</v>
      </c>
      <c r="S61" s="223">
        <f t="shared" si="16"/>
        <v>0</v>
      </c>
    </row>
    <row r="62" spans="1:20">
      <c r="G62" s="216"/>
    </row>
    <row r="63" spans="1:20">
      <c r="I63" s="118"/>
      <c r="J63" s="118"/>
      <c r="K63" s="118"/>
      <c r="L63" s="118"/>
      <c r="M63" s="118"/>
      <c r="N63" s="118"/>
    </row>
    <row r="64" spans="1:20">
      <c r="G64" s="119"/>
      <c r="H64" s="326"/>
      <c r="I64" s="224"/>
      <c r="J64" s="224"/>
      <c r="K64" s="224"/>
      <c r="L64" s="224"/>
      <c r="M64" s="224"/>
      <c r="N64" s="224"/>
      <c r="O64" s="118"/>
    </row>
    <row r="65" spans="1:15">
      <c r="G65" s="119"/>
      <c r="H65" s="326"/>
      <c r="I65" s="224"/>
      <c r="J65" s="224"/>
      <c r="K65" s="224"/>
      <c r="L65" s="224"/>
      <c r="M65" s="224"/>
      <c r="N65" s="224"/>
      <c r="O65" s="118"/>
    </row>
    <row r="66" spans="1:15">
      <c r="G66" s="119"/>
      <c r="H66" s="326"/>
      <c r="I66" s="224"/>
      <c r="J66" s="224"/>
      <c r="K66" s="224"/>
      <c r="L66" s="224"/>
      <c r="M66" s="224"/>
      <c r="N66" s="224"/>
      <c r="O66" s="118"/>
    </row>
    <row r="67" spans="1:15">
      <c r="G67" s="119"/>
      <c r="H67" s="326"/>
      <c r="I67" s="224"/>
      <c r="J67" s="224"/>
      <c r="K67" s="224"/>
      <c r="L67" s="224"/>
      <c r="M67" s="224"/>
      <c r="N67" s="224"/>
      <c r="O67" s="118"/>
    </row>
    <row r="68" spans="1:15">
      <c r="G68" s="119"/>
      <c r="H68" s="326"/>
      <c r="I68" s="224"/>
      <c r="J68" s="224"/>
      <c r="K68" s="224"/>
      <c r="L68" s="224"/>
      <c r="M68" s="224"/>
      <c r="N68" s="224"/>
      <c r="O68" s="118"/>
    </row>
    <row r="69" spans="1:15">
      <c r="G69" s="119"/>
      <c r="H69" s="326"/>
      <c r="I69" s="224"/>
      <c r="J69" s="224"/>
      <c r="K69" s="224"/>
      <c r="L69" s="224"/>
      <c r="M69" s="224"/>
      <c r="N69" s="224"/>
      <c r="O69" s="118"/>
    </row>
    <row r="70" spans="1:15">
      <c r="G70" s="119"/>
      <c r="H70" s="195"/>
      <c r="I70" s="224"/>
      <c r="J70" s="224"/>
      <c r="K70" s="224"/>
      <c r="L70" s="224"/>
      <c r="M70" s="224"/>
      <c r="N70" s="224"/>
      <c r="O70" s="118"/>
    </row>
    <row r="71" spans="1:15">
      <c r="G71" s="119"/>
      <c r="H71" s="195"/>
      <c r="I71" s="224"/>
      <c r="J71" s="224"/>
      <c r="K71" s="224"/>
      <c r="L71" s="224"/>
      <c r="M71" s="224"/>
      <c r="N71" s="224"/>
      <c r="O71" s="118"/>
    </row>
    <row r="72" spans="1:15">
      <c r="G72" s="119"/>
      <c r="H72" s="195"/>
      <c r="I72" s="224"/>
      <c r="J72" s="224"/>
      <c r="K72" s="224"/>
      <c r="L72" s="224"/>
      <c r="M72" s="224"/>
      <c r="N72" s="224"/>
      <c r="O72" s="118"/>
    </row>
    <row r="73" spans="1:15">
      <c r="G73" s="119"/>
      <c r="H73" s="195"/>
      <c r="I73" s="224"/>
      <c r="J73" s="224"/>
      <c r="K73" s="224"/>
      <c r="L73" s="224"/>
      <c r="M73" s="224"/>
      <c r="N73" s="224"/>
      <c r="O73" s="118"/>
    </row>
    <row r="74" spans="1:15">
      <c r="G74" s="119"/>
      <c r="H74" s="195"/>
      <c r="I74" s="224"/>
      <c r="J74" s="224"/>
      <c r="K74" s="224"/>
      <c r="L74" s="224"/>
      <c r="M74" s="224"/>
      <c r="N74" s="224"/>
      <c r="O74" s="118"/>
    </row>
    <row r="75" spans="1:15">
      <c r="G75" s="119"/>
      <c r="H75" s="195"/>
      <c r="I75" s="224"/>
      <c r="J75" s="224"/>
      <c r="K75" s="224"/>
      <c r="L75" s="224"/>
      <c r="M75" s="224"/>
      <c r="N75" s="224"/>
      <c r="O75" s="118"/>
    </row>
    <row r="76" spans="1:15">
      <c r="G76" s="119"/>
      <c r="H76" s="195"/>
      <c r="I76" s="224"/>
      <c r="J76" s="224"/>
      <c r="K76" s="224"/>
      <c r="L76" s="224"/>
      <c r="M76" s="224"/>
      <c r="N76" s="224"/>
      <c r="O76" s="118"/>
    </row>
    <row r="77" spans="1:15">
      <c r="G77" s="119"/>
      <c r="H77" s="195"/>
      <c r="I77" s="224"/>
      <c r="J77" s="224"/>
      <c r="K77" s="224"/>
      <c r="L77" s="224"/>
      <c r="M77" s="224"/>
      <c r="N77" s="224"/>
      <c r="O77" s="118"/>
    </row>
    <row r="78" spans="1:15">
      <c r="G78" s="119"/>
      <c r="H78" s="195"/>
      <c r="I78" s="224"/>
      <c r="J78" s="224"/>
      <c r="K78" s="224"/>
      <c r="L78" s="224"/>
      <c r="M78" s="224"/>
      <c r="N78" s="224"/>
      <c r="O78" s="118"/>
    </row>
    <row r="79" spans="1:15">
      <c r="G79" s="119"/>
      <c r="H79" s="195"/>
      <c r="I79" s="224"/>
      <c r="J79" s="224"/>
      <c r="K79" s="224"/>
      <c r="L79" s="224"/>
      <c r="M79" s="224"/>
      <c r="N79" s="224"/>
      <c r="O79" s="118"/>
    </row>
    <row r="80" spans="1:15">
      <c r="A80" s="102"/>
      <c r="B80" s="211"/>
      <c r="G80" s="119"/>
      <c r="H80" s="195"/>
      <c r="I80" s="224"/>
      <c r="J80" s="224"/>
      <c r="K80" s="224"/>
      <c r="L80" s="224"/>
      <c r="M80" s="224"/>
      <c r="N80" s="224"/>
      <c r="O80" s="118"/>
    </row>
    <row r="81" spans="1:19">
      <c r="A81" s="102"/>
      <c r="B81" s="211"/>
      <c r="G81" s="119"/>
      <c r="H81" s="195"/>
      <c r="I81" s="224"/>
      <c r="J81" s="224"/>
      <c r="K81" s="224"/>
      <c r="L81" s="224"/>
      <c r="M81" s="224"/>
      <c r="N81" s="224"/>
      <c r="O81" s="118"/>
    </row>
    <row r="82" spans="1:19">
      <c r="A82" s="102"/>
      <c r="B82" s="211"/>
      <c r="G82" s="119"/>
      <c r="H82" s="195"/>
      <c r="I82" s="224"/>
      <c r="J82" s="224"/>
      <c r="K82" s="224"/>
      <c r="L82" s="224"/>
      <c r="M82" s="224"/>
      <c r="N82" s="224"/>
      <c r="O82" s="118"/>
    </row>
    <row r="83" spans="1:19">
      <c r="A83" s="102"/>
      <c r="B83" s="211"/>
      <c r="G83" s="119"/>
      <c r="H83" s="195"/>
      <c r="I83" s="224"/>
      <c r="J83" s="224"/>
      <c r="K83" s="224"/>
      <c r="L83" s="224"/>
      <c r="M83" s="224"/>
      <c r="N83" s="224"/>
      <c r="O83" s="118"/>
    </row>
    <row r="84" spans="1:19">
      <c r="A84" s="102"/>
      <c r="B84" s="211"/>
      <c r="G84" s="119"/>
      <c r="H84" s="195"/>
      <c r="I84" s="224"/>
      <c r="J84" s="224"/>
      <c r="K84" s="224"/>
      <c r="L84" s="224"/>
      <c r="M84" s="224"/>
      <c r="N84" s="224"/>
      <c r="O84" s="118"/>
    </row>
    <row r="85" spans="1:19">
      <c r="A85" s="102"/>
      <c r="B85" s="211"/>
      <c r="G85" s="119"/>
      <c r="H85" s="195"/>
      <c r="I85" s="224"/>
      <c r="J85" s="224"/>
      <c r="K85" s="224"/>
      <c r="L85" s="224"/>
      <c r="M85" s="224"/>
      <c r="N85" s="224"/>
      <c r="O85" s="118"/>
    </row>
    <row r="86" spans="1:19">
      <c r="A86" s="102"/>
      <c r="B86" s="211"/>
      <c r="G86" s="119"/>
      <c r="H86" s="195"/>
      <c r="I86" s="224"/>
      <c r="J86" s="224"/>
      <c r="K86" s="224"/>
      <c r="L86" s="224"/>
      <c r="M86" s="224"/>
      <c r="N86" s="224"/>
      <c r="O86" s="118"/>
    </row>
    <row r="87" spans="1:19">
      <c r="A87" s="102"/>
      <c r="B87" s="211"/>
      <c r="G87" s="119"/>
      <c r="H87" s="195"/>
      <c r="I87" s="224"/>
      <c r="J87" s="224"/>
      <c r="K87" s="224"/>
      <c r="L87" s="224"/>
      <c r="M87" s="224"/>
      <c r="N87" s="224"/>
      <c r="O87" s="118"/>
    </row>
    <row r="88" spans="1:19">
      <c r="A88" s="102"/>
      <c r="B88" s="211"/>
      <c r="G88" s="119"/>
      <c r="H88" s="195"/>
      <c r="I88" s="224"/>
      <c r="J88" s="224"/>
      <c r="K88" s="224"/>
      <c r="L88" s="224"/>
      <c r="M88" s="224"/>
      <c r="N88" s="224"/>
      <c r="O88" s="118"/>
    </row>
    <row r="89" spans="1:19">
      <c r="A89" s="102"/>
      <c r="B89" s="211"/>
      <c r="G89" s="119"/>
      <c r="H89" s="195"/>
      <c r="I89" s="224"/>
      <c r="J89" s="224"/>
      <c r="K89" s="224"/>
      <c r="L89" s="224"/>
      <c r="M89" s="224"/>
      <c r="N89" s="224"/>
      <c r="O89" s="118"/>
    </row>
    <row r="90" spans="1:19">
      <c r="A90" s="102"/>
      <c r="B90" s="211"/>
      <c r="G90" s="119"/>
      <c r="H90" s="195"/>
      <c r="I90" s="224"/>
      <c r="J90" s="224"/>
      <c r="K90" s="224"/>
      <c r="L90" s="224"/>
      <c r="M90" s="224"/>
      <c r="N90" s="224"/>
      <c r="O90" s="118"/>
    </row>
    <row r="91" spans="1:19">
      <c r="A91" s="102"/>
      <c r="B91" s="211"/>
    </row>
    <row r="92" spans="1:19">
      <c r="A92" s="102"/>
      <c r="B92" s="211"/>
    </row>
    <row r="93" spans="1:19">
      <c r="A93" s="102"/>
      <c r="B93" s="211"/>
    </row>
    <row r="94" spans="1:19">
      <c r="A94" s="102"/>
      <c r="B94" s="211"/>
      <c r="G94" s="225" t="s">
        <v>260</v>
      </c>
    </row>
    <row r="95" spans="1:19">
      <c r="A95" s="102"/>
      <c r="B95" s="211"/>
      <c r="G95" s="213"/>
      <c r="H95" s="149" t="s">
        <v>261</v>
      </c>
    </row>
    <row r="96" spans="1:19">
      <c r="A96" s="102"/>
      <c r="B96" s="211"/>
      <c r="G96" s="149" t="s">
        <v>259</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1"/>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02"/>
      <c r="B98" s="211"/>
      <c r="G98" s="81" t="s">
        <v>257</v>
      </c>
      <c r="H98" s="226">
        <f>IF(MIN(H96,H97)&gt;1,0,MIN(H96,H97))</f>
        <v>9.9999998000000053E-5</v>
      </c>
      <c r="I98" s="226">
        <f t="shared" ref="I98:S98" si="19">IF(MIN(I96,I97)&gt;1,0,MIN(I96,I97))</f>
        <v>9.9999998000000053E-5</v>
      </c>
      <c r="J98" s="226">
        <f t="shared" si="19"/>
        <v>1.0000000200000004E-4</v>
      </c>
      <c r="K98" s="226">
        <f t="shared" si="19"/>
        <v>1.0000000200000004E-4</v>
      </c>
      <c r="L98" s="226">
        <f t="shared" si="19"/>
        <v>0</v>
      </c>
      <c r="M98" s="226">
        <f t="shared" si="19"/>
        <v>0</v>
      </c>
      <c r="N98" s="226">
        <f t="shared" si="19"/>
        <v>0</v>
      </c>
      <c r="O98" s="226">
        <f t="shared" si="19"/>
        <v>0</v>
      </c>
      <c r="P98" s="226">
        <f t="shared" si="19"/>
        <v>0</v>
      </c>
      <c r="Q98" s="226">
        <f t="shared" si="19"/>
        <v>0</v>
      </c>
      <c r="R98" s="226">
        <f t="shared" si="19"/>
        <v>0</v>
      </c>
      <c r="S98" s="226">
        <f t="shared" si="19"/>
        <v>0</v>
      </c>
    </row>
    <row r="99" spans="1:19">
      <c r="A99" s="102"/>
      <c r="B99" s="211"/>
      <c r="H99" s="149" t="s">
        <v>262</v>
      </c>
      <c r="I99" s="149"/>
      <c r="J99" s="149"/>
      <c r="K99" s="149"/>
      <c r="L99" s="149"/>
      <c r="M99" s="149"/>
      <c r="N99" s="149"/>
      <c r="O99" s="149"/>
      <c r="P99" s="149"/>
      <c r="Q99" s="149"/>
      <c r="R99" s="149"/>
      <c r="S99" s="149"/>
    </row>
    <row r="100" spans="1:19">
      <c r="A100" s="102"/>
      <c r="B100" s="211"/>
      <c r="G100" s="115" t="s">
        <v>259</v>
      </c>
      <c r="H100" s="154">
        <f t="shared" ref="H100:S100" si="20">H49/ABS(H31+0.000001)</f>
        <v>9.9999998000000053E-5</v>
      </c>
      <c r="I100" s="154">
        <f t="shared" si="20"/>
        <v>1.0000000200000004E-4</v>
      </c>
      <c r="J100" s="154">
        <f t="shared" si="20"/>
        <v>1.0000000200000004E-4</v>
      </c>
      <c r="K100" s="154">
        <f t="shared" si="20"/>
        <v>9.9999998000000053E-5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c r="A101" s="102"/>
      <c r="B101" s="211"/>
      <c r="G101" s="115" t="s">
        <v>259</v>
      </c>
      <c r="H101" s="227">
        <f t="shared" ref="H101:S101" si="21">H47/ABS(H33+0.000001)</f>
        <v>9.9999998000000053E-5</v>
      </c>
      <c r="I101" s="227">
        <f t="shared" si="21"/>
        <v>9.9999998000000053E-5</v>
      </c>
      <c r="J101" s="227">
        <f t="shared" si="21"/>
        <v>1.0000000200000004E-4</v>
      </c>
      <c r="K101" s="227">
        <f t="shared" si="21"/>
        <v>1.0000000200000004E-4</v>
      </c>
      <c r="L101" s="227">
        <f t="shared" si="21"/>
        <v>0</v>
      </c>
      <c r="M101" s="227">
        <f t="shared" si="21"/>
        <v>0</v>
      </c>
      <c r="N101" s="227">
        <f t="shared" si="21"/>
        <v>0</v>
      </c>
      <c r="O101" s="227">
        <f t="shared" si="21"/>
        <v>0</v>
      </c>
      <c r="P101" s="227">
        <f t="shared" si="21"/>
        <v>0</v>
      </c>
      <c r="Q101" s="227">
        <f t="shared" si="21"/>
        <v>0</v>
      </c>
      <c r="R101" s="227">
        <f t="shared" si="21"/>
        <v>0</v>
      </c>
      <c r="S101" s="227">
        <f t="shared" si="21"/>
        <v>0</v>
      </c>
    </row>
    <row r="102" spans="1:19">
      <c r="A102" s="102"/>
      <c r="B102" s="211"/>
      <c r="G102" s="81" t="s">
        <v>257</v>
      </c>
      <c r="H102" s="226">
        <f>IF(MIN(H100,H101)&gt;1,0,MIN(H100,H101))</f>
        <v>9.9999998000000053E-5</v>
      </c>
      <c r="I102" s="226">
        <f t="shared" ref="I102:S102" si="22">IF(MIN(I100,I101)&gt;1,0,MIN(I100,I101))</f>
        <v>9.9999998000000053E-5</v>
      </c>
      <c r="J102" s="226">
        <f t="shared" si="22"/>
        <v>1.0000000200000004E-4</v>
      </c>
      <c r="K102" s="226">
        <f t="shared" si="22"/>
        <v>9.9999998000000053E-5</v>
      </c>
      <c r="L102" s="226">
        <f t="shared" si="22"/>
        <v>0</v>
      </c>
      <c r="M102" s="226">
        <f t="shared" si="22"/>
        <v>0</v>
      </c>
      <c r="N102" s="226">
        <f t="shared" si="22"/>
        <v>0</v>
      </c>
      <c r="O102" s="226">
        <f t="shared" si="22"/>
        <v>0</v>
      </c>
      <c r="P102" s="226">
        <f t="shared" si="22"/>
        <v>0</v>
      </c>
      <c r="Q102" s="226">
        <f t="shared" si="22"/>
        <v>0</v>
      </c>
      <c r="R102" s="226">
        <f t="shared" si="22"/>
        <v>0</v>
      </c>
      <c r="S102" s="226">
        <f t="shared" si="22"/>
        <v>0</v>
      </c>
    </row>
    <row r="103" spans="1:19">
      <c r="A103" s="102"/>
      <c r="B103" s="211"/>
      <c r="H103" s="81" t="s">
        <v>263</v>
      </c>
    </row>
    <row r="104" spans="1:19">
      <c r="A104" s="102"/>
      <c r="B104" s="211"/>
      <c r="G104" s="149" t="s">
        <v>259</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02"/>
      <c r="B105" s="211"/>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02"/>
      <c r="B106" s="211"/>
      <c r="G106" s="81" t="s">
        <v>257</v>
      </c>
      <c r="H106" s="226">
        <f>IF(MIN(H104,H105)&gt;1,0,MIN(H104,H105))</f>
        <v>9.9999998000000053E-5</v>
      </c>
      <c r="I106" s="226">
        <f t="shared" ref="I106:S106" si="25">IF(MIN(I104,I105)&gt;1,0,MIN(I104,I105))</f>
        <v>1.0000000200000004E-4</v>
      </c>
      <c r="J106" s="226">
        <f t="shared" si="25"/>
        <v>1.0000000200000004E-4</v>
      </c>
      <c r="K106" s="226">
        <f t="shared" si="25"/>
        <v>9.9999998000000053E-5</v>
      </c>
      <c r="L106" s="226">
        <f t="shared" si="25"/>
        <v>0</v>
      </c>
      <c r="M106" s="226">
        <f t="shared" si="25"/>
        <v>0</v>
      </c>
      <c r="N106" s="226">
        <f t="shared" si="25"/>
        <v>0</v>
      </c>
      <c r="O106" s="226">
        <f t="shared" si="25"/>
        <v>0</v>
      </c>
      <c r="P106" s="226">
        <f t="shared" si="25"/>
        <v>0</v>
      </c>
      <c r="Q106" s="226">
        <f t="shared" si="25"/>
        <v>0</v>
      </c>
      <c r="R106" s="226">
        <f t="shared" si="25"/>
        <v>0</v>
      </c>
      <c r="S106" s="226">
        <f t="shared" si="25"/>
        <v>0</v>
      </c>
    </row>
    <row r="107" spans="1:19">
      <c r="A107" s="102"/>
      <c r="B107" s="211"/>
    </row>
    <row r="108" spans="1:19">
      <c r="A108" s="102"/>
      <c r="B108" s="211"/>
      <c r="G108" s="225" t="s">
        <v>308</v>
      </c>
      <c r="H108" s="225"/>
      <c r="I108" s="225"/>
      <c r="J108" s="225"/>
      <c r="K108" s="225"/>
      <c r="L108" s="225"/>
      <c r="M108" s="225"/>
      <c r="N108" s="225"/>
      <c r="O108" s="225"/>
      <c r="P108" s="225"/>
    </row>
    <row r="109" spans="1:19">
      <c r="A109" s="102"/>
      <c r="B109" s="211"/>
      <c r="H109" s="102" t="s">
        <v>254</v>
      </c>
      <c r="I109" s="102"/>
      <c r="J109" s="102"/>
      <c r="K109" s="102"/>
      <c r="L109" s="102"/>
      <c r="M109" s="102"/>
      <c r="N109" s="102"/>
      <c r="O109" s="102"/>
      <c r="P109" s="102"/>
      <c r="Q109" s="102"/>
      <c r="R109" s="102"/>
      <c r="S109" s="102"/>
    </row>
    <row r="110" spans="1:19">
      <c r="G110" s="149" t="s">
        <v>259</v>
      </c>
      <c r="H110" s="226">
        <f t="shared" ref="H110:S110" si="26">H56/(H33+0.000001)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c r="G111" s="149" t="s">
        <v>259</v>
      </c>
      <c r="H111" s="228">
        <f t="shared" ref="H111:S111" si="27">H57/(H32+0.000001)</f>
        <v>0</v>
      </c>
      <c r="I111" s="228">
        <f t="shared" si="27"/>
        <v>0</v>
      </c>
      <c r="J111" s="228">
        <f t="shared" si="27"/>
        <v>0</v>
      </c>
      <c r="K111" s="228">
        <f t="shared" si="27"/>
        <v>0</v>
      </c>
      <c r="L111" s="228">
        <f t="shared" si="27"/>
        <v>0</v>
      </c>
      <c r="M111" s="228">
        <f t="shared" si="27"/>
        <v>0</v>
      </c>
      <c r="N111" s="228">
        <f t="shared" si="27"/>
        <v>0</v>
      </c>
      <c r="O111" s="228">
        <f t="shared" si="27"/>
        <v>0</v>
      </c>
      <c r="P111" s="228">
        <f t="shared" si="27"/>
        <v>0</v>
      </c>
      <c r="Q111" s="228">
        <f t="shared" si="27"/>
        <v>0</v>
      </c>
      <c r="R111" s="228">
        <f t="shared" si="27"/>
        <v>0</v>
      </c>
      <c r="S111" s="228">
        <f t="shared" si="27"/>
        <v>0</v>
      </c>
    </row>
    <row r="112" spans="1:19">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257</v>
      </c>
      <c r="H113" s="226">
        <f>IF(H112*MIN(ABS(H110),ABS(H111))&gt;1,0,H112*MIN(ABS(H110),ABS(H111)))</f>
        <v>0</v>
      </c>
      <c r="I113" s="226">
        <f t="shared" ref="I113:S113" si="29">IF(I112*MIN(ABS(I110),ABS(I111))&gt;1,0,I112*MIN(ABS(I110),ABS(I111)))</f>
        <v>0</v>
      </c>
      <c r="J113" s="226">
        <f t="shared" si="29"/>
        <v>0</v>
      </c>
      <c r="K113" s="226">
        <f t="shared" si="29"/>
        <v>0</v>
      </c>
      <c r="L113" s="226">
        <f t="shared" si="29"/>
        <v>0</v>
      </c>
      <c r="M113" s="226">
        <f t="shared" si="29"/>
        <v>0</v>
      </c>
      <c r="N113" s="226">
        <f t="shared" si="29"/>
        <v>0</v>
      </c>
      <c r="O113" s="226">
        <f t="shared" si="29"/>
        <v>0</v>
      </c>
      <c r="P113" s="226">
        <f t="shared" si="29"/>
        <v>0</v>
      </c>
      <c r="Q113" s="226">
        <f t="shared" si="29"/>
        <v>0</v>
      </c>
      <c r="R113" s="226">
        <f t="shared" si="29"/>
        <v>0</v>
      </c>
      <c r="S113" s="226">
        <f t="shared" si="29"/>
        <v>0</v>
      </c>
    </row>
    <row r="114" spans="7:19">
      <c r="H114" s="102" t="s">
        <v>255</v>
      </c>
      <c r="I114" s="102"/>
      <c r="J114" s="102"/>
      <c r="K114" s="102"/>
      <c r="L114" s="102"/>
      <c r="M114" s="102"/>
      <c r="N114" s="102"/>
      <c r="O114" s="102"/>
      <c r="P114" s="102"/>
      <c r="Q114" s="102"/>
      <c r="R114" s="102"/>
      <c r="S114" s="102"/>
    </row>
    <row r="115" spans="7:19">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c r="G117" s="154" t="s">
        <v>258</v>
      </c>
      <c r="H117" s="229">
        <f>SIGN(H115+0.000000000001)*SIGN(H116+0.000000000001)</f>
        <v>1</v>
      </c>
      <c r="I117" s="229">
        <f t="shared" ref="I117:S117" si="32">SIGN(I115+0.000000000001)*SIGN(I116+0.000000000001)</f>
        <v>1</v>
      </c>
      <c r="J117" s="229">
        <f t="shared" si="32"/>
        <v>1</v>
      </c>
      <c r="K117" s="229">
        <f t="shared" si="32"/>
        <v>1</v>
      </c>
      <c r="L117" s="229">
        <f t="shared" si="32"/>
        <v>1</v>
      </c>
      <c r="M117" s="229">
        <f t="shared" si="32"/>
        <v>1</v>
      </c>
      <c r="N117" s="229">
        <f t="shared" si="32"/>
        <v>1</v>
      </c>
      <c r="O117" s="229">
        <f t="shared" si="32"/>
        <v>1</v>
      </c>
      <c r="P117" s="229">
        <f t="shared" si="32"/>
        <v>1</v>
      </c>
      <c r="Q117" s="229">
        <f t="shared" si="32"/>
        <v>1</v>
      </c>
      <c r="R117" s="229">
        <f t="shared" si="32"/>
        <v>1</v>
      </c>
      <c r="S117" s="229">
        <f t="shared" si="32"/>
        <v>1</v>
      </c>
    </row>
    <row r="118" spans="7:19">
      <c r="G118" s="154" t="s">
        <v>257</v>
      </c>
      <c r="H118" s="230">
        <f>IF(H117*MIN(ABS(H115),ABS(H116))&gt;1,0,H117*MIN(ABS(H115),ABS(H116)))</f>
        <v>0</v>
      </c>
      <c r="I118" s="230">
        <f t="shared" ref="I118:S118" si="33">IF(I117*MIN(ABS(I115),ABS(I116))&gt;1,0,I117*MIN(ABS(I115),ABS(I116)))</f>
        <v>0</v>
      </c>
      <c r="J118" s="230">
        <f t="shared" si="33"/>
        <v>0</v>
      </c>
      <c r="K118" s="230">
        <f t="shared" si="33"/>
        <v>0</v>
      </c>
      <c r="L118" s="230">
        <f t="shared" si="33"/>
        <v>0</v>
      </c>
      <c r="M118" s="230">
        <f t="shared" si="33"/>
        <v>0</v>
      </c>
      <c r="N118" s="230">
        <f t="shared" si="33"/>
        <v>0</v>
      </c>
      <c r="O118" s="230">
        <f t="shared" si="33"/>
        <v>0</v>
      </c>
      <c r="P118" s="230">
        <f t="shared" si="33"/>
        <v>0</v>
      </c>
      <c r="Q118" s="230">
        <f t="shared" si="33"/>
        <v>0</v>
      </c>
      <c r="R118" s="230">
        <f t="shared" si="33"/>
        <v>0</v>
      </c>
      <c r="S118" s="230">
        <f t="shared" si="33"/>
        <v>0</v>
      </c>
    </row>
    <row r="119" spans="7:19">
      <c r="H119" s="102" t="s">
        <v>256</v>
      </c>
      <c r="I119" s="102"/>
      <c r="J119" s="102"/>
      <c r="K119" s="102"/>
      <c r="L119" s="102"/>
      <c r="M119" s="102"/>
      <c r="N119" s="102"/>
      <c r="O119" s="102"/>
      <c r="P119" s="102"/>
      <c r="Q119" s="102"/>
      <c r="R119" s="102"/>
      <c r="S119" s="102"/>
    </row>
    <row r="120" spans="7:19">
      <c r="G120" s="149" t="s">
        <v>259</v>
      </c>
      <c r="H120" s="226">
        <f t="shared" ref="H120:S120" si="34">H56/(H31+0.000001)</f>
        <v>0</v>
      </c>
      <c r="I120" s="226">
        <f t="shared" si="34"/>
        <v>0</v>
      </c>
      <c r="J120" s="226">
        <f t="shared" si="34"/>
        <v>0</v>
      </c>
      <c r="K120" s="226">
        <f t="shared" si="34"/>
        <v>0</v>
      </c>
      <c r="L120" s="226">
        <f t="shared" si="34"/>
        <v>0</v>
      </c>
      <c r="M120" s="226">
        <f t="shared" si="34"/>
        <v>0</v>
      </c>
      <c r="N120" s="226">
        <f t="shared" si="34"/>
        <v>0</v>
      </c>
      <c r="O120" s="226">
        <f t="shared" si="34"/>
        <v>0</v>
      </c>
      <c r="P120" s="226">
        <f t="shared" si="34"/>
        <v>0</v>
      </c>
      <c r="Q120" s="226">
        <f t="shared" si="34"/>
        <v>0</v>
      </c>
      <c r="R120" s="226">
        <f t="shared" si="34"/>
        <v>0</v>
      </c>
      <c r="S120" s="226">
        <f t="shared" si="34"/>
        <v>0</v>
      </c>
    </row>
    <row r="121" spans="7:19">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257</v>
      </c>
      <c r="H123" s="226">
        <f>IF(H122*MIN(ABS(H120),ABS(H121))&gt;1,0,H122*MIN(ABS(H120),ABS(H121)))</f>
        <v>0</v>
      </c>
      <c r="I123" s="226">
        <f t="shared" ref="I123:S123" si="37">IF(I122*MIN(ABS(I120),ABS(I121))&gt;1,0,I122*MIN(ABS(I120),ABS(I121)))</f>
        <v>0</v>
      </c>
      <c r="J123" s="226">
        <f t="shared" si="37"/>
        <v>0</v>
      </c>
      <c r="K123" s="226">
        <f t="shared" si="37"/>
        <v>0</v>
      </c>
      <c r="L123" s="226">
        <f t="shared" si="37"/>
        <v>0</v>
      </c>
      <c r="M123" s="226">
        <f t="shared" si="37"/>
        <v>0</v>
      </c>
      <c r="N123" s="226">
        <f t="shared" si="37"/>
        <v>0</v>
      </c>
      <c r="O123" s="226">
        <f t="shared" si="37"/>
        <v>0</v>
      </c>
      <c r="P123" s="226">
        <f t="shared" si="37"/>
        <v>0</v>
      </c>
      <c r="Q123" s="226">
        <f t="shared" si="37"/>
        <v>0</v>
      </c>
      <c r="R123" s="226">
        <f t="shared" si="37"/>
        <v>0</v>
      </c>
      <c r="S123" s="226">
        <f t="shared" si="37"/>
        <v>0</v>
      </c>
    </row>
    <row r="124" spans="7:19">
      <c r="G124" s="149"/>
    </row>
    <row r="125" spans="7:19">
      <c r="H125" s="144"/>
      <c r="I125" s="144"/>
      <c r="J125" s="144"/>
      <c r="K125" s="144"/>
      <c r="L125" s="144"/>
      <c r="M125" s="144"/>
      <c r="N125" s="144"/>
      <c r="O125" s="144"/>
      <c r="P125" s="144"/>
      <c r="Q125" s="144"/>
      <c r="R125" s="144"/>
      <c r="S125" s="144"/>
    </row>
    <row r="126" spans="7:19">
      <c r="H126" s="226"/>
      <c r="I126" s="226"/>
      <c r="J126" s="226"/>
      <c r="K126" s="226"/>
      <c r="L126" s="226"/>
      <c r="M126" s="226"/>
      <c r="N126" s="226"/>
      <c r="O126" s="226"/>
      <c r="P126" s="226"/>
      <c r="Q126" s="226"/>
      <c r="R126" s="226"/>
      <c r="S126" s="226"/>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baseColWidth="10" defaultColWidth="8.83203125" defaultRowHeight="15" x14ac:dyDescent="0"/>
  <cols>
    <col min="1" max="1" width="46.5" style="81" customWidth="1"/>
    <col min="2" max="2" width="14.6640625" style="82" customWidth="1"/>
    <col min="3" max="3" width="9.6640625" style="82" customWidth="1"/>
    <col min="4" max="4" width="12.6640625" style="81" customWidth="1"/>
    <col min="5" max="8" width="9.6640625" style="81" customWidth="1"/>
    <col min="9" max="9" width="9.6640625" style="149" customWidth="1"/>
    <col min="10" max="10" width="9.6640625" style="81" customWidth="1"/>
    <col min="11" max="16384" width="8.83203125" style="81"/>
  </cols>
  <sheetData>
    <row r="1" spans="1:4">
      <c r="A1" s="81" t="s">
        <v>384</v>
      </c>
    </row>
    <row r="2" spans="1:4">
      <c r="A2" s="82" t="s">
        <v>270</v>
      </c>
    </row>
    <row r="3" spans="1:4">
      <c r="A3" s="102" t="s">
        <v>374</v>
      </c>
      <c r="B3" s="82">
        <v>25</v>
      </c>
      <c r="C3" s="82" t="s">
        <v>201</v>
      </c>
    </row>
    <row r="4" spans="1:4">
      <c r="A4" s="102" t="s">
        <v>32</v>
      </c>
      <c r="B4" s="82">
        <f>1770*9.8</f>
        <v>17346</v>
      </c>
      <c r="C4" s="82">
        <v>17400</v>
      </c>
    </row>
    <row r="5" spans="1:4">
      <c r="A5" s="102" t="s">
        <v>243</v>
      </c>
      <c r="B5" s="82">
        <f>647*1000</f>
        <v>647000</v>
      </c>
      <c r="C5" s="82">
        <f>392*1000</f>
        <v>392000</v>
      </c>
    </row>
    <row r="6" spans="1:4">
      <c r="A6" s="102" t="s">
        <v>33</v>
      </c>
      <c r="B6" s="82">
        <v>3</v>
      </c>
      <c r="C6" s="82">
        <v>3</v>
      </c>
    </row>
    <row r="7" spans="1:4">
      <c r="A7" s="102" t="s">
        <v>34</v>
      </c>
      <c r="B7" s="82">
        <v>0.01</v>
      </c>
      <c r="C7" s="82">
        <v>0.01</v>
      </c>
    </row>
    <row r="8" spans="1:4">
      <c r="A8" s="102" t="s">
        <v>288</v>
      </c>
      <c r="B8" s="83">
        <f>C4/(B6*B7)</f>
        <v>580000</v>
      </c>
      <c r="C8" s="83">
        <f>C4/(C6*C7)</f>
        <v>580000</v>
      </c>
    </row>
    <row r="9" spans="1:4">
      <c r="A9" s="102" t="s">
        <v>35</v>
      </c>
      <c r="B9" s="82">
        <v>25</v>
      </c>
    </row>
    <row r="10" spans="1:4">
      <c r="A10" s="102" t="s">
        <v>244</v>
      </c>
      <c r="B10" s="101">
        <f>B5*B9^2/4</f>
        <v>101093750</v>
      </c>
    </row>
    <row r="11" spans="1:4">
      <c r="A11" s="102" t="s">
        <v>289</v>
      </c>
      <c r="B11" s="101">
        <f>B5*B9^2/12</f>
        <v>33697916.666666664</v>
      </c>
    </row>
    <row r="12" spans="1:4">
      <c r="A12" s="102" t="s">
        <v>290</v>
      </c>
      <c r="B12" s="97">
        <f>B11</f>
        <v>33697916.666666664</v>
      </c>
    </row>
    <row r="13" spans="1:4">
      <c r="A13" s="114" t="s">
        <v>266</v>
      </c>
    </row>
    <row r="14" spans="1:4">
      <c r="A14" s="115" t="s">
        <v>267</v>
      </c>
      <c r="D14" s="82"/>
    </row>
    <row r="15" spans="1:4">
      <c r="A15" s="116" t="s">
        <v>269</v>
      </c>
      <c r="B15" s="82">
        <v>18</v>
      </c>
      <c r="D15" s="82"/>
    </row>
    <row r="16" spans="1:4">
      <c r="A16" s="116" t="s">
        <v>234</v>
      </c>
      <c r="B16" s="82">
        <v>2500</v>
      </c>
      <c r="D16" s="82"/>
    </row>
    <row r="17" spans="1:11">
      <c r="A17" s="102" t="s">
        <v>54</v>
      </c>
      <c r="B17" s="117">
        <v>200000</v>
      </c>
      <c r="C17" s="117"/>
      <c r="D17" s="117"/>
    </row>
    <row r="18" spans="1:11">
      <c r="A18" s="116" t="s">
        <v>268</v>
      </c>
      <c r="B18" s="98">
        <f>PI()*B15^2/4*B17/B16</f>
        <v>20357.520395261861</v>
      </c>
      <c r="C18" s="98"/>
      <c r="D18" s="98"/>
    </row>
    <row r="19" spans="1:11" s="166" customFormat="1" ht="16" thickBot="1">
      <c r="A19" s="171" t="s">
        <v>320</v>
      </c>
      <c r="B19" s="167">
        <v>3</v>
      </c>
      <c r="C19" s="167"/>
      <c r="D19" s="167"/>
      <c r="F19" s="167"/>
      <c r="I19" s="168"/>
    </row>
    <row r="20" spans="1:11" s="163" customFormat="1">
      <c r="A20" s="162" t="s">
        <v>343</v>
      </c>
      <c r="B20" s="172"/>
      <c r="D20" s="172"/>
      <c r="E20" s="172"/>
      <c r="F20" s="172"/>
      <c r="G20" s="172"/>
    </row>
    <row r="21" spans="1:11" s="163" customFormat="1">
      <c r="A21" s="162" t="s">
        <v>321</v>
      </c>
      <c r="B21" s="172"/>
      <c r="C21" s="165"/>
      <c r="D21" s="204"/>
      <c r="E21" s="205"/>
      <c r="F21" s="205"/>
      <c r="G21" s="205"/>
      <c r="H21" s="205"/>
      <c r="I21" s="205"/>
      <c r="J21" s="205"/>
      <c r="K21" s="206"/>
    </row>
    <row r="22" spans="1:11">
      <c r="A22" s="161" t="s">
        <v>341</v>
      </c>
      <c r="B22" s="172" t="s">
        <v>310</v>
      </c>
      <c r="C22" s="119" t="s">
        <v>282</v>
      </c>
      <c r="D22" s="232" t="s">
        <v>285</v>
      </c>
      <c r="E22" s="147">
        <f>B28^3/(3*B24*B35)</f>
        <v>0</v>
      </c>
      <c r="F22" s="81">
        <v>0</v>
      </c>
      <c r="G22" s="81">
        <v>0</v>
      </c>
      <c r="H22" s="81">
        <v>0</v>
      </c>
      <c r="I22" s="142">
        <f>E26</f>
        <v>0</v>
      </c>
      <c r="J22" s="81">
        <v>0</v>
      </c>
      <c r="K22" s="84" t="s">
        <v>276</v>
      </c>
    </row>
    <row r="23" spans="1:11">
      <c r="A23" s="161" t="s">
        <v>344</v>
      </c>
      <c r="B23" s="118" t="s">
        <v>311</v>
      </c>
      <c r="C23" s="119" t="s">
        <v>283</v>
      </c>
      <c r="D23" s="233"/>
      <c r="E23" s="81">
        <v>0</v>
      </c>
      <c r="F23" s="142">
        <f>B28^3/(3*B24*B35)</f>
        <v>0</v>
      </c>
      <c r="G23" s="81">
        <v>0</v>
      </c>
      <c r="H23" s="142">
        <f>B28^2/(2*B24*B35)</f>
        <v>0</v>
      </c>
      <c r="I23" s="81">
        <v>0</v>
      </c>
      <c r="J23" s="81">
        <v>0</v>
      </c>
      <c r="K23" s="84" t="s">
        <v>277</v>
      </c>
    </row>
    <row r="24" spans="1:11">
      <c r="A24" s="102" t="s">
        <v>291</v>
      </c>
      <c r="B24" s="98">
        <v>200000</v>
      </c>
      <c r="C24" s="119" t="s">
        <v>284</v>
      </c>
      <c r="D24" s="233"/>
      <c r="E24" s="81">
        <v>0</v>
      </c>
      <c r="F24" s="81">
        <v>0</v>
      </c>
      <c r="G24" s="142">
        <f>B28/(B24*B33)</f>
        <v>0</v>
      </c>
      <c r="H24" s="81">
        <v>0</v>
      </c>
      <c r="I24" s="81">
        <v>0</v>
      </c>
      <c r="J24" s="81">
        <v>0</v>
      </c>
      <c r="K24" s="84" t="s">
        <v>278</v>
      </c>
    </row>
    <row r="25" spans="1:11">
      <c r="A25" s="102" t="s">
        <v>287</v>
      </c>
      <c r="B25" s="82">
        <v>0.28999999999999998</v>
      </c>
      <c r="C25" s="119" t="s">
        <v>273</v>
      </c>
      <c r="D25" s="233"/>
      <c r="E25" s="148"/>
      <c r="F25" s="142">
        <f>H23</f>
        <v>0</v>
      </c>
      <c r="G25" s="81">
        <v>0</v>
      </c>
      <c r="H25" s="142">
        <f>B28/(B24*B35)</f>
        <v>0</v>
      </c>
      <c r="I25" s="81">
        <v>0</v>
      </c>
      <c r="J25" s="81">
        <v>0</v>
      </c>
      <c r="K25" s="84" t="s">
        <v>279</v>
      </c>
    </row>
    <row r="26" spans="1:11">
      <c r="A26" s="102" t="s">
        <v>292</v>
      </c>
      <c r="B26" s="97">
        <f>B24/(2*(1+B25))</f>
        <v>77519.379844961237</v>
      </c>
      <c r="C26" s="119" t="s">
        <v>275</v>
      </c>
      <c r="D26" s="233"/>
      <c r="E26" s="142">
        <f>-1*B29^2/(2*B24*B35)</f>
        <v>0</v>
      </c>
      <c r="F26" s="81">
        <v>0</v>
      </c>
      <c r="G26" s="81">
        <v>0</v>
      </c>
      <c r="H26" s="81">
        <v>0</v>
      </c>
      <c r="I26" s="142">
        <f>B28/(B24*B35)</f>
        <v>0</v>
      </c>
      <c r="J26" s="81">
        <v>0</v>
      </c>
      <c r="K26" s="84" t="s">
        <v>280</v>
      </c>
    </row>
    <row r="27" spans="1:11">
      <c r="A27" s="191" t="s">
        <v>346</v>
      </c>
      <c r="C27" s="119" t="s">
        <v>274</v>
      </c>
      <c r="D27" s="256"/>
      <c r="E27" s="81">
        <v>0</v>
      </c>
      <c r="F27" s="81">
        <v>0</v>
      </c>
      <c r="G27" s="81">
        <v>0</v>
      </c>
      <c r="H27" s="81">
        <v>0</v>
      </c>
      <c r="I27" s="81">
        <v>0</v>
      </c>
      <c r="J27" s="142">
        <f>B29/(B26*B36)</f>
        <v>0</v>
      </c>
      <c r="K27" s="84" t="s">
        <v>281</v>
      </c>
    </row>
    <row r="28" spans="1:11">
      <c r="A28" s="102" t="s">
        <v>351</v>
      </c>
      <c r="B28" s="83">
        <f>ABS('CSs and Loads'!C15)</f>
        <v>0</v>
      </c>
      <c r="C28" s="81"/>
    </row>
    <row r="29" spans="1:11">
      <c r="A29" s="102" t="s">
        <v>234</v>
      </c>
      <c r="B29" s="83">
        <f>B28</f>
        <v>0</v>
      </c>
      <c r="C29" s="81"/>
    </row>
    <row r="30" spans="1:11">
      <c r="A30" s="102" t="s">
        <v>348</v>
      </c>
      <c r="B30" s="82">
        <v>25</v>
      </c>
      <c r="C30" s="97"/>
    </row>
    <row r="31" spans="1:11">
      <c r="A31" s="102" t="s">
        <v>347</v>
      </c>
      <c r="B31" s="160">
        <v>0.5</v>
      </c>
      <c r="C31" s="81"/>
      <c r="H31" s="144"/>
    </row>
    <row r="32" spans="1:11">
      <c r="A32" s="102" t="s">
        <v>271</v>
      </c>
      <c r="B32" s="81"/>
      <c r="C32" s="97"/>
    </row>
    <row r="33" spans="1:11">
      <c r="A33" s="102" t="s">
        <v>272</v>
      </c>
      <c r="B33" s="97">
        <f>B31*PI()*B30^2/4</f>
        <v>245.43692606170259</v>
      </c>
      <c r="C33" s="97"/>
    </row>
    <row r="34" spans="1:11">
      <c r="A34" s="102" t="s">
        <v>315</v>
      </c>
      <c r="B34" s="81"/>
      <c r="C34" s="97"/>
    </row>
    <row r="35" spans="1:11">
      <c r="A35" s="102" t="s">
        <v>316</v>
      </c>
      <c r="B35" s="97">
        <f>B31*PI()*B30^4/64</f>
        <v>9587.3799242852565</v>
      </c>
      <c r="C35" s="98"/>
    </row>
    <row r="36" spans="1:11">
      <c r="A36" s="102" t="s">
        <v>236</v>
      </c>
      <c r="B36" s="97">
        <f>B31*PI()*B30^4/32</f>
        <v>19174.759848570513</v>
      </c>
    </row>
    <row r="37" spans="1:11">
      <c r="A37" s="102" t="s">
        <v>339</v>
      </c>
      <c r="B37" s="97">
        <f>B35/B33</f>
        <v>39.062499999999993</v>
      </c>
      <c r="C37" s="97"/>
    </row>
    <row r="38" spans="1:11">
      <c r="A38" s="102" t="s">
        <v>352</v>
      </c>
      <c r="B38" s="97" t="e">
        <f>3*B24*B35/B29^3</f>
        <v>#DIV/0!</v>
      </c>
      <c r="C38" s="145"/>
    </row>
    <row r="39" spans="1:11" s="166" customFormat="1" ht="16" thickBot="1">
      <c r="A39" s="235" t="s">
        <v>358</v>
      </c>
      <c r="B39" s="236"/>
      <c r="C39" s="236"/>
      <c r="D39" s="236"/>
      <c r="E39" s="236"/>
      <c r="F39" s="236"/>
      <c r="G39" s="236"/>
      <c r="H39" s="236"/>
      <c r="I39" s="236"/>
      <c r="J39" s="236"/>
      <c r="K39" s="237"/>
    </row>
    <row r="40" spans="1:11" customFormat="1"/>
    <row r="41" spans="1:11" customFormat="1"/>
    <row r="42" spans="1:11" customFormat="1"/>
    <row r="43" spans="1:11" customFormat="1"/>
    <row r="44" spans="1:11" customFormat="1"/>
    <row r="45" spans="1:11" customFormat="1"/>
    <row r="46" spans="1:11" customFormat="1"/>
    <row r="47" spans="1:11" customFormat="1"/>
    <row r="48" spans="1:11"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zoomScale="150" zoomScaleNormal="150" zoomScalePageLayoutView="150" workbookViewId="0">
      <selection activeCell="D14" sqref="D14"/>
    </sheetView>
  </sheetViews>
  <sheetFormatPr baseColWidth="10" defaultColWidth="8.83203125" defaultRowHeight="15" x14ac:dyDescent="0"/>
  <cols>
    <col min="1" max="1" width="48.1640625" customWidth="1"/>
    <col min="2" max="2" width="9.83203125" bestFit="1" customWidth="1"/>
    <col min="3" max="3" width="9.33203125" customWidth="1"/>
    <col min="4" max="4" width="9.6640625" customWidth="1"/>
    <col min="5" max="5" width="16.6640625" customWidth="1"/>
    <col min="6" max="6" width="10.1640625" bestFit="1" customWidth="1"/>
  </cols>
  <sheetData>
    <row r="2" spans="1:5">
      <c r="A2" t="s">
        <v>11</v>
      </c>
    </row>
    <row r="3" spans="1:5">
      <c r="A3" s="1" t="s">
        <v>12</v>
      </c>
      <c r="B3" t="s">
        <v>18</v>
      </c>
      <c r="C3" t="s">
        <v>19</v>
      </c>
      <c r="D3" t="s">
        <v>20</v>
      </c>
    </row>
    <row r="4" spans="1:5">
      <c r="A4" s="2" t="s">
        <v>13</v>
      </c>
      <c r="B4" t="s">
        <v>21</v>
      </c>
      <c r="C4" t="s">
        <v>24</v>
      </c>
      <c r="D4" s="1">
        <v>250</v>
      </c>
    </row>
    <row r="5" spans="1:5">
      <c r="A5" s="2" t="s">
        <v>14</v>
      </c>
      <c r="B5" t="s">
        <v>21</v>
      </c>
      <c r="C5" t="s">
        <v>25</v>
      </c>
      <c r="D5" s="1">
        <v>12.7</v>
      </c>
    </row>
    <row r="6" spans="1:5">
      <c r="A6" s="2" t="s">
        <v>17</v>
      </c>
      <c r="B6" t="s">
        <v>22</v>
      </c>
      <c r="C6" t="s">
        <v>26</v>
      </c>
      <c r="D6" s="20">
        <f>PI()*(R_OD^2-(R_OD-2*R_wall)^2)/4</f>
        <v>9467.8491960500978</v>
      </c>
    </row>
    <row r="7" spans="1:5">
      <c r="A7" s="2" t="s">
        <v>15</v>
      </c>
      <c r="B7" t="s">
        <v>23</v>
      </c>
      <c r="C7" t="s">
        <v>27</v>
      </c>
      <c r="D7" s="143">
        <f>PI()*(R_OD^4-(R_OD-2*R_wall)^4)/64</f>
        <v>66834233.893984355</v>
      </c>
    </row>
    <row r="8" spans="1:5">
      <c r="A8" s="2" t="s">
        <v>45</v>
      </c>
      <c r="B8" t="s">
        <v>23</v>
      </c>
      <c r="C8" t="s">
        <v>46</v>
      </c>
      <c r="D8" s="143">
        <f>PI()*(R_OD^4-(R_OD-2*R_wall)^4)/32</f>
        <v>133668467.78796871</v>
      </c>
    </row>
    <row r="9" spans="1:5">
      <c r="A9" s="1" t="s">
        <v>16</v>
      </c>
    </row>
    <row r="10" spans="1:5">
      <c r="A10" s="2" t="s">
        <v>13</v>
      </c>
      <c r="B10" t="s">
        <v>21</v>
      </c>
      <c r="C10" t="s">
        <v>28</v>
      </c>
      <c r="D10" s="1">
        <v>100</v>
      </c>
    </row>
    <row r="11" spans="1:5">
      <c r="A11" s="2" t="s">
        <v>14</v>
      </c>
      <c r="B11" t="s">
        <v>21</v>
      </c>
      <c r="C11" t="s">
        <v>29</v>
      </c>
      <c r="D11" s="1">
        <v>6</v>
      </c>
    </row>
    <row r="12" spans="1:5">
      <c r="A12" s="2" t="s">
        <v>17</v>
      </c>
      <c r="B12" t="s">
        <v>22</v>
      </c>
      <c r="C12" t="s">
        <v>30</v>
      </c>
      <c r="D12" s="20">
        <f>S_OD^2-(S_OD-2*S_wall)^2</f>
        <v>2256</v>
      </c>
    </row>
    <row r="13" spans="1:5">
      <c r="A13" s="2" t="s">
        <v>213</v>
      </c>
      <c r="B13" t="s">
        <v>23</v>
      </c>
      <c r="C13" t="s">
        <v>31</v>
      </c>
      <c r="D13" s="25">
        <f>(S_OD^4-(S_OD-2*S_wall)^4)/12</f>
        <v>3335872</v>
      </c>
    </row>
    <row r="14" spans="1:5">
      <c r="A14" s="2" t="s">
        <v>45</v>
      </c>
      <c r="B14" t="s">
        <v>23</v>
      </c>
      <c r="C14" t="s">
        <v>212</v>
      </c>
      <c r="D14" s="25">
        <f>4*((S_OD-S_wall)^2)^2*S_wall/(4*(S_OD-S_wall))</f>
        <v>4983504</v>
      </c>
      <c r="E14" s="15"/>
    </row>
    <row r="15" spans="1:5">
      <c r="A15" s="1" t="s">
        <v>216</v>
      </c>
      <c r="B15" t="s">
        <v>21</v>
      </c>
      <c r="C15" t="s">
        <v>220</v>
      </c>
      <c r="D15" s="8">
        <v>25</v>
      </c>
    </row>
    <row r="16" spans="1:5">
      <c r="A16" s="2" t="s">
        <v>217</v>
      </c>
      <c r="D16" s="8"/>
    </row>
    <row r="17" spans="1:6">
      <c r="A17" s="2" t="s">
        <v>218</v>
      </c>
      <c r="B17" t="s">
        <v>21</v>
      </c>
      <c r="C17" t="s">
        <v>221</v>
      </c>
      <c r="D17" s="8">
        <f>S_OD-lgrs</f>
        <v>75</v>
      </c>
      <c r="F17">
        <f>4*S_OD^4*S_wall/(4*(S_OD-S_wall))</f>
        <v>6382978.7234042557</v>
      </c>
    </row>
    <row r="18" spans="1:6">
      <c r="A18" s="2" t="s">
        <v>219</v>
      </c>
      <c r="B18" t="s">
        <v>21</v>
      </c>
      <c r="C18" t="s">
        <v>222</v>
      </c>
      <c r="D18" s="8">
        <f>R_OD+lgrs</f>
        <v>275</v>
      </c>
    </row>
    <row r="19" spans="1:6">
      <c r="A19" s="140" t="s">
        <v>224</v>
      </c>
      <c r="F19">
        <f>S_IP/F17</f>
        <v>0.78074895999999994</v>
      </c>
    </row>
    <row r="20" spans="1:6">
      <c r="A20" s="2" t="s">
        <v>215</v>
      </c>
      <c r="B20" s="90">
        <f>R_Area/S_Area</f>
        <v>4.1967416649158231</v>
      </c>
    </row>
    <row r="21" spans="1:6">
      <c r="A21" s="2" t="s">
        <v>214</v>
      </c>
      <c r="B21" s="90">
        <f>D7/S_I</f>
        <v>20.035011503434291</v>
      </c>
    </row>
    <row r="22" spans="1:6">
      <c r="A22" s="2" t="s">
        <v>47</v>
      </c>
      <c r="B22" s="90">
        <f>R_Ip/S_IP</f>
        <v>26.822185311373023</v>
      </c>
    </row>
    <row r="23" spans="1:6">
      <c r="A23" s="2" t="s">
        <v>223</v>
      </c>
      <c r="B23" s="8">
        <f>D18/lgst</f>
        <v>3.6666666666666665</v>
      </c>
    </row>
    <row r="30" spans="1:6">
      <c r="A30" s="2" t="s">
        <v>48</v>
      </c>
    </row>
    <row r="31" spans="1:6">
      <c r="A31" t="s">
        <v>12</v>
      </c>
      <c r="B31" t="s">
        <v>18</v>
      </c>
      <c r="C31" t="s">
        <v>20</v>
      </c>
    </row>
    <row r="32" spans="1:6">
      <c r="A32" s="2" t="s">
        <v>54</v>
      </c>
      <c r="B32" t="s">
        <v>55</v>
      </c>
      <c r="C32" s="18">
        <f>200000/3</f>
        <v>66666.666666666672</v>
      </c>
    </row>
    <row r="33" spans="1:5">
      <c r="A33" s="2" t="s">
        <v>13</v>
      </c>
      <c r="B33" t="s">
        <v>21</v>
      </c>
      <c r="C33" s="1">
        <v>500</v>
      </c>
    </row>
    <row r="34" spans="1:5">
      <c r="A34" s="2" t="s">
        <v>14</v>
      </c>
      <c r="B34" t="s">
        <v>21</v>
      </c>
      <c r="C34" s="1">
        <v>25</v>
      </c>
    </row>
    <row r="35" spans="1:5">
      <c r="A35" s="2" t="s">
        <v>17</v>
      </c>
      <c r="B35" t="s">
        <v>22</v>
      </c>
      <c r="C35" s="20">
        <f>PI()*(C33^2-(C33-2*C34)^2)/4</f>
        <v>37306.412761378793</v>
      </c>
    </row>
    <row r="36" spans="1:5">
      <c r="A36" s="2" t="s">
        <v>213</v>
      </c>
      <c r="B36" t="s">
        <v>23</v>
      </c>
      <c r="C36" s="15">
        <f>PI()*(C33^4-(C33-2*C34)^4)/64</f>
        <v>1055071985.9077441</v>
      </c>
    </row>
    <row r="37" spans="1:5">
      <c r="A37" s="2" t="s">
        <v>45</v>
      </c>
      <c r="B37" t="s">
        <v>23</v>
      </c>
      <c r="C37" s="15">
        <f>PI()*(C33^4-(C33-2*C34)^4)/32</f>
        <v>2110143971.8154881</v>
      </c>
    </row>
    <row r="38" spans="1:5">
      <c r="A38" s="2" t="s">
        <v>49</v>
      </c>
      <c r="B38" t="s">
        <v>21</v>
      </c>
      <c r="C38">
        <v>1800</v>
      </c>
    </row>
    <row r="39" spans="1:5">
      <c r="A39" s="2" t="s">
        <v>50</v>
      </c>
      <c r="B39" t="s">
        <v>21</v>
      </c>
    </row>
    <row r="40" spans="1:5">
      <c r="A40" s="2" t="s">
        <v>51</v>
      </c>
      <c r="B40" t="s">
        <v>21</v>
      </c>
      <c r="C40">
        <v>200</v>
      </c>
      <c r="E40" s="24"/>
    </row>
    <row r="41" spans="1:5">
      <c r="A41" s="2" t="s">
        <v>62</v>
      </c>
      <c r="B41" t="s">
        <v>21</v>
      </c>
      <c r="C41">
        <f>C40+C39</f>
        <v>200</v>
      </c>
    </row>
    <row r="42" spans="1:5">
      <c r="A42" s="2" t="s">
        <v>52</v>
      </c>
      <c r="B42" t="s">
        <v>53</v>
      </c>
      <c r="C42" s="25">
        <f>(C32/3)*C37*(1/(C40+C39)+1/(C38-C39-C40))</f>
        <v>263767996476.93604</v>
      </c>
    </row>
    <row r="43" spans="1:5">
      <c r="A43" s="2" t="s">
        <v>56</v>
      </c>
      <c r="B43" t="s">
        <v>36</v>
      </c>
      <c r="C43" s="19">
        <f>C35*C32*(1/(C40+C39)+1/(C38-C39-C40))</f>
        <v>13989904.785517048</v>
      </c>
      <c r="D43" t="s">
        <v>59</v>
      </c>
    </row>
    <row r="44" spans="1:5">
      <c r="A44" s="2" t="s">
        <v>57</v>
      </c>
      <c r="B44" t="s">
        <v>36</v>
      </c>
      <c r="C44" s="16">
        <f>6*C38*C32*C36/(  (C41-C38)*(C41^3-C38^3+(C38-C41)^3)   )</f>
        <v>274758.32966347499</v>
      </c>
      <c r="D44" t="s">
        <v>60</v>
      </c>
    </row>
    <row r="45" spans="1:5">
      <c r="A45" s="2" t="s">
        <v>58</v>
      </c>
      <c r="B45" t="s">
        <v>36</v>
      </c>
      <c r="C45" s="16">
        <f>C44</f>
        <v>274758.32966347499</v>
      </c>
      <c r="D45" t="s">
        <v>60</v>
      </c>
    </row>
    <row r="46" spans="1: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baseColWidth="10" defaultColWidth="8.83203125" defaultRowHeight="15" x14ac:dyDescent="0"/>
  <cols>
    <col min="1" max="1" width="15.6640625" customWidth="1"/>
  </cols>
  <sheetData>
    <row r="2" spans="1:2">
      <c r="A2" t="s">
        <v>10</v>
      </c>
    </row>
    <row r="3" spans="1:2">
      <c r="A3" t="s">
        <v>37</v>
      </c>
    </row>
    <row r="4" spans="1:2">
      <c r="A4" t="s">
        <v>38</v>
      </c>
      <c r="B4">
        <v>12</v>
      </c>
    </row>
    <row r="5" spans="1:2">
      <c r="A5" t="s">
        <v>39</v>
      </c>
      <c r="B5" s="17">
        <v>200000</v>
      </c>
    </row>
    <row r="6" spans="1:2">
      <c r="A6" t="s">
        <v>40</v>
      </c>
      <c r="B6">
        <v>400</v>
      </c>
    </row>
    <row r="7" spans="1:2">
      <c r="A7" t="s">
        <v>41</v>
      </c>
      <c r="B7" s="21">
        <f>B5*PI()*B4^2/4/B6</f>
        <v>56548.667764616272</v>
      </c>
    </row>
    <row r="9" spans="1:2">
      <c r="A9" t="s">
        <v>9</v>
      </c>
    </row>
    <row r="10" spans="1:2">
      <c r="A10" t="s">
        <v>37</v>
      </c>
    </row>
    <row r="11" spans="1:2">
      <c r="A11" t="s">
        <v>38</v>
      </c>
      <c r="B11">
        <v>15</v>
      </c>
    </row>
    <row r="12" spans="1:2">
      <c r="A12" t="s">
        <v>39</v>
      </c>
      <c r="B12" s="17">
        <v>200000</v>
      </c>
    </row>
    <row r="13" spans="1:2">
      <c r="A13" t="s">
        <v>40</v>
      </c>
      <c r="B13">
        <v>750</v>
      </c>
    </row>
    <row r="14" spans="1:2">
      <c r="A14" t="s">
        <v>41</v>
      </c>
      <c r="B14" s="21">
        <f>B12*PI()*B11^2/4/B13</f>
        <v>47123.889803846898</v>
      </c>
    </row>
    <row r="16" spans="1:2">
      <c r="A16" t="s">
        <v>9</v>
      </c>
    </row>
    <row r="17" spans="1:2">
      <c r="A17" t="s">
        <v>37</v>
      </c>
    </row>
    <row r="18" spans="1:2">
      <c r="A18" t="s">
        <v>38</v>
      </c>
      <c r="B18">
        <v>20</v>
      </c>
    </row>
    <row r="19" spans="1:2">
      <c r="A19" t="s">
        <v>39</v>
      </c>
      <c r="B19" s="17">
        <v>200000</v>
      </c>
    </row>
    <row r="20" spans="1:2">
      <c r="A20" t="s">
        <v>40</v>
      </c>
      <c r="B20">
        <v>1500</v>
      </c>
    </row>
    <row r="21" spans="1:2">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topLeftCell="A3" workbookViewId="0">
      <selection activeCell="B4" sqref="B4"/>
    </sheetView>
  </sheetViews>
  <sheetFormatPr baseColWidth="10" defaultRowHeight="15" x14ac:dyDescent="0"/>
  <cols>
    <col min="1" max="1" width="31.6640625" customWidth="1"/>
  </cols>
  <sheetData>
    <row r="2" spans="1:2">
      <c r="A2" s="96"/>
      <c r="B2" s="96"/>
    </row>
    <row r="3" spans="1:2">
      <c r="A3" s="96" t="s">
        <v>238</v>
      </c>
      <c r="B3" s="96"/>
    </row>
    <row r="4" spans="1:2">
      <c r="A4" s="99" t="s">
        <v>228</v>
      </c>
      <c r="B4" s="82">
        <v>100</v>
      </c>
    </row>
    <row r="5" spans="1:2">
      <c r="A5" s="99" t="s">
        <v>229</v>
      </c>
      <c r="B5" s="82">
        <v>15</v>
      </c>
    </row>
    <row r="6" spans="1:2">
      <c r="A6" s="99" t="s">
        <v>235</v>
      </c>
      <c r="B6" s="97">
        <f>PI()*(B4^4-(B4-2*B5)^4)/64</f>
        <v>3730150.4022857561</v>
      </c>
    </row>
    <row r="7" spans="1:2">
      <c r="A7" s="99" t="s">
        <v>236</v>
      </c>
      <c r="B7" s="97">
        <f>PI()*(B4^4-(B4-2*B5)^4)/32</f>
        <v>7460300.8045715122</v>
      </c>
    </row>
    <row r="8" spans="1:2">
      <c r="A8" s="99" t="s">
        <v>234</v>
      </c>
      <c r="B8" s="83">
        <f>'CSs and Loads'!C13</f>
        <v>1000</v>
      </c>
    </row>
    <row r="9" spans="1:2">
      <c r="A9" s="99" t="s">
        <v>233</v>
      </c>
      <c r="B9" s="98">
        <v>70000</v>
      </c>
    </row>
    <row r="10" spans="1:2">
      <c r="A10" s="96" t="s">
        <v>237</v>
      </c>
      <c r="B10" s="82"/>
    </row>
    <row r="11" spans="1:2">
      <c r="A11" s="99" t="s">
        <v>232</v>
      </c>
      <c r="B11" s="98">
        <f>B7*B9/B8</f>
        <v>522221056.32000583</v>
      </c>
    </row>
    <row r="12" spans="1:2">
      <c r="A12" s="99" t="s">
        <v>230</v>
      </c>
      <c r="B12" s="98">
        <f>2*B9*B6/B8</f>
        <v>522221056.32000583</v>
      </c>
    </row>
    <row r="13" spans="1:2">
      <c r="A13" s="99" t="s">
        <v>231</v>
      </c>
      <c r="B13" s="98">
        <f>B16</f>
        <v>1.9148978921815466E-9</v>
      </c>
    </row>
    <row r="14" spans="1:2">
      <c r="A14" s="96" t="s">
        <v>239</v>
      </c>
      <c r="B14" s="82"/>
    </row>
    <row r="15" spans="1:2">
      <c r="A15" s="99" t="s">
        <v>240</v>
      </c>
      <c r="B15" s="98">
        <f>1/B11</f>
        <v>1.9148978921815466E-9</v>
      </c>
    </row>
    <row r="16" spans="1:2">
      <c r="A16" s="99" t="s">
        <v>241</v>
      </c>
      <c r="B16" s="98">
        <f t="shared" ref="B16:B17" si="0">1/B12</f>
        <v>1.9148978921815466E-9</v>
      </c>
    </row>
    <row r="17" spans="1:2">
      <c r="A17" s="99" t="s">
        <v>242</v>
      </c>
      <c r="B17" s="98">
        <f t="shared" si="0"/>
        <v>522221056.32000589</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baseColWidth="10" defaultColWidth="11" defaultRowHeight="15" x14ac:dyDescent="0"/>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baseColWidth="10" defaultColWidth="11" defaultRowHeight="15" x14ac:dyDescent="0"/>
  <cols>
    <col min="1" max="1" width="19.3320312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topLeftCell="A20" zoomScale="200" zoomScaleNormal="200" zoomScalePageLayoutView="200" workbookViewId="0">
      <selection activeCell="C22" sqref="C22"/>
    </sheetView>
  </sheetViews>
  <sheetFormatPr baseColWidth="10" defaultColWidth="11" defaultRowHeight="15" x14ac:dyDescent="0"/>
  <cols>
    <col min="2" max="2" width="52.83203125" customWidth="1"/>
    <col min="3" max="4" width="12.1640625" bestFit="1" customWidth="1"/>
    <col min="5" max="5" width="16" customWidth="1"/>
    <col min="6" max="6" width="22.33203125" customWidth="1"/>
    <col min="7" max="7" width="15.5" customWidth="1"/>
    <col min="8" max="8" width="16.83203125" customWidth="1"/>
    <col min="9" max="9" width="14.5" customWidth="1"/>
    <col min="10" max="10" width="11" customWidth="1"/>
    <col min="11" max="11" width="16" customWidth="1"/>
    <col min="12" max="12" width="23.6640625" customWidth="1"/>
    <col min="13" max="13" width="15.33203125" customWidth="1"/>
    <col min="14" max="14" width="11" customWidth="1"/>
    <col min="15" max="15" width="15" customWidth="1"/>
    <col min="16" max="16" width="12.6640625" bestFit="1" customWidth="1"/>
    <col min="17" max="17" width="13.33203125" customWidth="1"/>
    <col min="18" max="18" width="11" customWidth="1"/>
    <col min="19" max="19" width="13.33203125" customWidth="1"/>
    <col min="20" max="20" width="13.83203125" customWidth="1"/>
    <col min="21" max="21" width="12.1640625" bestFit="1" customWidth="1"/>
    <col min="22" max="22" width="12.6640625" bestFit="1" customWidth="1"/>
    <col min="24" max="24" width="15.6640625" customWidth="1"/>
    <col min="28" max="28" width="11.1640625" bestFit="1" customWidth="1"/>
    <col min="31" max="31" width="13.5" customWidth="1"/>
    <col min="33" max="33" width="12.33203125" bestFit="1" customWidth="1"/>
    <col min="34" max="34" width="11.5" bestFit="1" customWidth="1"/>
    <col min="35" max="35" width="11" bestFit="1" customWidth="1"/>
    <col min="36" max="36" width="13.33203125" customWidth="1"/>
    <col min="41" max="41" width="13.5" bestFit="1" customWidth="1"/>
    <col min="47" max="47" width="14.1640625" customWidth="1"/>
    <col min="49" max="49" width="15.33203125" customWidth="1"/>
    <col min="52" max="52" width="14.1640625" customWidth="1"/>
    <col min="54" max="54" width="16.6640625" customWidth="1"/>
    <col min="57" max="57" width="18.83203125" customWidth="1"/>
    <col min="59" max="59" width="16.83203125" customWidth="1"/>
  </cols>
  <sheetData>
    <row r="1" spans="1:28">
      <c r="A1" s="301" t="s">
        <v>158</v>
      </c>
      <c r="B1" s="301"/>
      <c r="C1" s="301"/>
      <c r="D1" s="301"/>
      <c r="E1" s="301"/>
      <c r="F1" s="301"/>
      <c r="G1" s="301"/>
    </row>
    <row r="2" spans="1:28" ht="15" customHeight="1">
      <c r="A2" s="301" t="s">
        <v>176</v>
      </c>
      <c r="B2" s="301"/>
      <c r="C2" s="301"/>
      <c r="D2" s="301"/>
      <c r="E2" s="301"/>
      <c r="F2" s="301"/>
      <c r="G2" s="301"/>
      <c r="H2" s="39"/>
    </row>
    <row r="3" spans="1:28" ht="15" customHeight="1">
      <c r="A3" s="301" t="s">
        <v>162</v>
      </c>
      <c r="B3" s="301"/>
      <c r="C3" s="301"/>
      <c r="D3" s="301"/>
      <c r="E3" s="301"/>
      <c r="F3" s="301"/>
      <c r="G3" s="301"/>
      <c r="H3" s="39"/>
    </row>
    <row r="4" spans="1:28" ht="15" customHeight="1">
      <c r="A4" s="304" t="s">
        <v>164</v>
      </c>
      <c r="B4" s="304"/>
      <c r="C4" s="35" t="s">
        <v>163</v>
      </c>
      <c r="D4" s="1"/>
      <c r="E4" s="39"/>
      <c r="F4" s="39"/>
      <c r="G4" s="39"/>
      <c r="H4" s="39"/>
    </row>
    <row r="5" spans="1:28" ht="15" customHeight="1">
      <c r="A5" s="304" t="s">
        <v>165</v>
      </c>
      <c r="B5" s="304"/>
      <c r="C5" s="44" t="s">
        <v>166</v>
      </c>
      <c r="E5" s="39"/>
      <c r="F5" s="39"/>
      <c r="G5" s="39"/>
      <c r="H5" s="39"/>
    </row>
    <row r="6" spans="1:28" ht="15" customHeight="1">
      <c r="A6" s="34" t="s">
        <v>169</v>
      </c>
      <c r="B6" s="34"/>
      <c r="C6" s="10"/>
      <c r="E6" s="39"/>
      <c r="F6" s="39"/>
      <c r="G6" s="39"/>
      <c r="H6" s="39"/>
    </row>
    <row r="7" spans="1:28" ht="15" customHeight="1">
      <c r="A7" s="34" t="s">
        <v>169</v>
      </c>
      <c r="B7" s="34"/>
      <c r="C7" s="10"/>
      <c r="E7" s="39"/>
      <c r="F7" s="39"/>
      <c r="G7" s="39"/>
      <c r="H7" s="39"/>
    </row>
    <row r="8" spans="1:28" ht="15" customHeight="1">
      <c r="B8" s="39"/>
      <c r="C8" s="39"/>
      <c r="D8" s="39"/>
      <c r="E8" s="39"/>
      <c r="F8" s="39"/>
      <c r="G8" s="39"/>
      <c r="H8" s="39"/>
    </row>
    <row r="10" spans="1:28">
      <c r="A10" s="322" t="s">
        <v>181</v>
      </c>
      <c r="B10" s="322"/>
      <c r="C10" s="37">
        <v>2</v>
      </c>
      <c r="D10" s="323" t="s">
        <v>175</v>
      </c>
      <c r="E10" s="323"/>
      <c r="F10" s="323"/>
      <c r="G10" s="323"/>
      <c r="H10" s="323"/>
    </row>
    <row r="11" spans="1:28" s="52" customFormat="1" ht="16" thickBot="1">
      <c r="A11" s="59"/>
      <c r="B11" s="52" t="s">
        <v>182</v>
      </c>
    </row>
    <row r="12" spans="1:28" ht="15" customHeight="1">
      <c r="A12" s="316" t="s">
        <v>323</v>
      </c>
      <c r="B12" s="68" t="s">
        <v>249</v>
      </c>
      <c r="E12" s="1" t="s">
        <v>140</v>
      </c>
    </row>
    <row r="13" spans="1:28">
      <c r="A13" s="316"/>
      <c r="B13" s="12" t="s">
        <v>73</v>
      </c>
      <c r="C13" s="36">
        <v>1000</v>
      </c>
      <c r="E13" s="301" t="s">
        <v>138</v>
      </c>
      <c r="F13" s="301"/>
      <c r="G13" s="301" t="s">
        <v>139</v>
      </c>
      <c r="H13" s="301"/>
      <c r="N13" s="34" t="s">
        <v>98</v>
      </c>
      <c r="O13" s="1"/>
      <c r="P13" s="67"/>
      <c r="Q13" s="1"/>
      <c r="R13" s="1"/>
      <c r="S13" s="34" t="s">
        <v>136</v>
      </c>
      <c r="Y13" s="34" t="s">
        <v>297</v>
      </c>
    </row>
    <row r="14" spans="1:28">
      <c r="A14" s="316"/>
      <c r="B14" s="12" t="s">
        <v>74</v>
      </c>
      <c r="C14" s="36">
        <v>0</v>
      </c>
      <c r="E14" s="46" t="s">
        <v>84</v>
      </c>
      <c r="F14" s="48">
        <f>'CS_1 Y carriage and table'!B45</f>
        <v>5.0000000000000001E-3</v>
      </c>
      <c r="G14" s="46" t="s">
        <v>84</v>
      </c>
      <c r="H14" s="48">
        <f>'CS_1 Y carriage and table'!B52</f>
        <v>0</v>
      </c>
      <c r="O14" t="s">
        <v>88</v>
      </c>
      <c r="P14" s="7" t="s">
        <v>89</v>
      </c>
      <c r="Q14" s="26" t="s">
        <v>90</v>
      </c>
      <c r="R14" s="26" t="s">
        <v>91</v>
      </c>
      <c r="T14" t="s">
        <v>88</v>
      </c>
      <c r="U14" s="7" t="s">
        <v>89</v>
      </c>
      <c r="V14" s="26" t="s">
        <v>90</v>
      </c>
      <c r="W14" s="26" t="s">
        <v>91</v>
      </c>
      <c r="Y14" t="s">
        <v>88</v>
      </c>
      <c r="Z14" s="7" t="s">
        <v>89</v>
      </c>
      <c r="AA14" s="26" t="s">
        <v>90</v>
      </c>
      <c r="AB14" s="26" t="s">
        <v>91</v>
      </c>
    </row>
    <row r="15" spans="1:28">
      <c r="A15" s="316"/>
      <c r="B15" s="12" t="s">
        <v>75</v>
      </c>
      <c r="C15" s="36">
        <v>0</v>
      </c>
      <c r="E15" s="46" t="s">
        <v>112</v>
      </c>
      <c r="F15" s="48">
        <f>'CS_1 Y carriage and table'!B46</f>
        <v>5.0000000000000001E-3</v>
      </c>
      <c r="G15" s="46" t="s">
        <v>112</v>
      </c>
      <c r="H15" s="48">
        <f>'CS_1 Y carriage and table'!B53</f>
        <v>0</v>
      </c>
      <c r="N15" s="46" t="s">
        <v>84</v>
      </c>
      <c r="O15" s="50">
        <f>ABS(F14)</f>
        <v>5.0000000000000001E-3</v>
      </c>
      <c r="P15" s="50">
        <f>ABS(F17*O29)</f>
        <v>0</v>
      </c>
      <c r="Q15" s="50">
        <f>ABS(F18*P29)</f>
        <v>2.4999997918939702E-5</v>
      </c>
      <c r="R15" s="50">
        <f>ABS(F19*Q29)</f>
        <v>2.4999997918939702E-5</v>
      </c>
      <c r="S15" s="46" t="s">
        <v>84</v>
      </c>
      <c r="T15" s="49">
        <f t="array" ref="T15:W18">ABS(MMULT(T33:W36,O15:R18))</f>
        <v>5.0000000000000001E-3</v>
      </c>
      <c r="U15" s="49">
        <v>0</v>
      </c>
      <c r="V15" s="49">
        <v>2.4999997918939702E-5</v>
      </c>
      <c r="W15" s="49">
        <v>2.4999997918939702E-5</v>
      </c>
      <c r="X15" s="70" t="s">
        <v>84</v>
      </c>
      <c r="Y15" s="49">
        <f>F21+F28</f>
        <v>0</v>
      </c>
      <c r="Z15" s="29">
        <f>F24*O29</f>
        <v>0</v>
      </c>
      <c r="AA15" s="29">
        <f>F25*P29</f>
        <v>0</v>
      </c>
      <c r="AB15" s="29">
        <f>F26*Q29</f>
        <v>2.1895294177730551E-4</v>
      </c>
    </row>
    <row r="16" spans="1:28" ht="15" customHeight="1">
      <c r="A16" s="60">
        <v>1</v>
      </c>
      <c r="B16" s="1" t="s">
        <v>76</v>
      </c>
      <c r="C16" s="13"/>
      <c r="E16" s="46" t="s">
        <v>113</v>
      </c>
      <c r="F16" s="48">
        <f>'CS_1 Y carriage and table'!B47</f>
        <v>5.0000000000000001E-3</v>
      </c>
      <c r="G16" s="46" t="s">
        <v>113</v>
      </c>
      <c r="H16" s="48">
        <f>'CS_1 Y carriage and table'!B54</f>
        <v>0</v>
      </c>
      <c r="N16" s="46" t="s">
        <v>112</v>
      </c>
      <c r="O16" s="50">
        <f t="shared" ref="O16:O17" si="0">ABS(F15)</f>
        <v>5.0000000000000001E-3</v>
      </c>
      <c r="P16" s="50">
        <f>ABS(F17*O30)</f>
        <v>0</v>
      </c>
      <c r="Q16" s="50">
        <f>ABS(F18*P30)</f>
        <v>0</v>
      </c>
      <c r="R16" s="50">
        <f>ABS(F19*Q30)</f>
        <v>4.999999166666709E-2</v>
      </c>
      <c r="S16" s="46" t="s">
        <v>112</v>
      </c>
      <c r="T16" s="49">
        <v>5.0000000000000001E-3</v>
      </c>
      <c r="U16" s="49">
        <v>0</v>
      </c>
      <c r="V16" s="49">
        <v>0</v>
      </c>
      <c r="W16" s="49">
        <v>4.999999166666709E-2</v>
      </c>
      <c r="X16" s="70" t="s">
        <v>112</v>
      </c>
      <c r="Y16" s="49">
        <f t="shared" ref="Y16:Y17" si="1">F22+F29</f>
        <v>-2.5074668569440815E-2</v>
      </c>
      <c r="Z16" s="29">
        <f>F24*O30</f>
        <v>0</v>
      </c>
      <c r="AA16" s="29">
        <f>F25*P30</f>
        <v>0</v>
      </c>
      <c r="AB16" s="29">
        <f>F26*Q30</f>
        <v>-0.43790584702263968</v>
      </c>
    </row>
    <row r="17" spans="1:59" ht="15" customHeight="1">
      <c r="A17" s="43">
        <f>IF(A16&gt;Naxes,0,1)</f>
        <v>1</v>
      </c>
      <c r="B17" s="2" t="s">
        <v>177</v>
      </c>
      <c r="C17" s="37">
        <v>0</v>
      </c>
      <c r="E17" s="4" t="s">
        <v>85</v>
      </c>
      <c r="F17" s="48">
        <f>'CS_1 Y carriage and table'!B48</f>
        <v>4.999999975000001E-5</v>
      </c>
      <c r="G17" s="4" t="s">
        <v>85</v>
      </c>
      <c r="H17" s="48">
        <f>'CS_1 Y carriage and table'!B55</f>
        <v>0</v>
      </c>
      <c r="N17" s="46" t="s">
        <v>113</v>
      </c>
      <c r="O17" s="50">
        <f t="shared" si="0"/>
        <v>5.0000000000000001E-3</v>
      </c>
      <c r="P17" s="50">
        <f>ABS(F17*O31)</f>
        <v>0</v>
      </c>
      <c r="Q17" s="50">
        <f>ABS(F18*P31)</f>
        <v>4.999999166666709E-2</v>
      </c>
      <c r="R17" s="50">
        <f>ABS(F19*Q31)</f>
        <v>0</v>
      </c>
      <c r="S17" s="46" t="s">
        <v>113</v>
      </c>
      <c r="T17" s="49">
        <v>5.0000000000000001E-3</v>
      </c>
      <c r="U17" s="49">
        <v>0</v>
      </c>
      <c r="V17" s="49">
        <v>4.999999166666709E-2</v>
      </c>
      <c r="W17" s="49">
        <v>0</v>
      </c>
      <c r="X17" s="70" t="s">
        <v>113</v>
      </c>
      <c r="Y17" s="49">
        <f t="shared" si="1"/>
        <v>0</v>
      </c>
      <c r="Z17" s="29">
        <f>F24*O31</f>
        <v>0</v>
      </c>
      <c r="AA17" s="29">
        <f>F25*P31</f>
        <v>0</v>
      </c>
      <c r="AB17" s="29">
        <f>F26*Q31</f>
        <v>0</v>
      </c>
    </row>
    <row r="18" spans="1:59" ht="15" customHeight="1">
      <c r="A18" s="318" t="s">
        <v>127</v>
      </c>
      <c r="B18" s="2" t="s">
        <v>179</v>
      </c>
      <c r="C18" s="37">
        <v>0</v>
      </c>
      <c r="E18" s="4" t="s">
        <v>86</v>
      </c>
      <c r="F18" s="48">
        <f>'CS_1 Y carriage and table'!B49</f>
        <v>5.0000000000000009E-5</v>
      </c>
      <c r="G18" s="4" t="s">
        <v>86</v>
      </c>
      <c r="H18" s="48">
        <f>'CS_1 Y carriage and table'!B56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c r="A19" s="318"/>
      <c r="B19" s="2" t="s">
        <v>178</v>
      </c>
      <c r="C19" s="37">
        <v>0</v>
      </c>
      <c r="D19" s="317" t="s">
        <v>180</v>
      </c>
      <c r="E19" s="4" t="s">
        <v>87</v>
      </c>
      <c r="F19" s="48">
        <f>'CS_1 Y carriage and table'!B50</f>
        <v>5.0000000000000009E-5</v>
      </c>
      <c r="G19" s="4" t="s">
        <v>87</v>
      </c>
      <c r="H19" s="48">
        <f>'CS_1 Y carriage and table'!B57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c r="A20" s="318"/>
      <c r="B20" s="2" t="s">
        <v>245</v>
      </c>
      <c r="C20" s="38">
        <v>0</v>
      </c>
      <c r="D20" s="317"/>
      <c r="E20" s="299" t="s">
        <v>303</v>
      </c>
      <c r="F20" s="299"/>
      <c r="G20" s="301" t="s">
        <v>251</v>
      </c>
      <c r="H20" s="301"/>
      <c r="I20" s="299" t="s">
        <v>306</v>
      </c>
      <c r="J20" s="299"/>
      <c r="K20" s="299" t="s">
        <v>304</v>
      </c>
      <c r="L20" s="299"/>
      <c r="M20" s="67"/>
      <c r="N20" s="34" t="s">
        <v>99</v>
      </c>
      <c r="O20" s="1"/>
      <c r="P20" s="67"/>
      <c r="Q20" s="1"/>
      <c r="R20" s="1"/>
      <c r="S20" s="34" t="s">
        <v>137</v>
      </c>
      <c r="X20" s="6"/>
      <c r="Y20" s="34" t="s">
        <v>296</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c r="A21" s="318"/>
      <c r="B21" s="2" t="s">
        <v>77</v>
      </c>
      <c r="C21" s="369">
        <f>Summary!L9+Summary!M9+Summary!K9</f>
        <v>500</v>
      </c>
      <c r="D21" s="317"/>
      <c r="E21" s="46" t="s">
        <v>84</v>
      </c>
      <c r="F21" s="49">
        <f>E37/IF(H21=0,1000000000000,H21)</f>
        <v>0</v>
      </c>
      <c r="G21" s="4" t="s">
        <v>117</v>
      </c>
      <c r="H21" s="113">
        <f>'CS_1 Y carriage and table'!B25</f>
        <v>2312800</v>
      </c>
      <c r="I21" s="4" t="s">
        <v>85</v>
      </c>
      <c r="J21" s="49">
        <f>A50*F64</f>
        <v>3.111508499147696E-5</v>
      </c>
      <c r="K21" s="4" t="s">
        <v>85</v>
      </c>
      <c r="L21" s="139">
        <f t="array" ref="L21:L24">MMULT(MINVERSE(O33:R36),J21:J24)</f>
        <v>3.111508499147696E-5</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c r="A22" s="319" t="s">
        <v>407</v>
      </c>
      <c r="B22" s="2" t="s">
        <v>107</v>
      </c>
      <c r="C22" s="37">
        <v>0</v>
      </c>
      <c r="D22" s="317"/>
      <c r="E22" s="46" t="s">
        <v>112</v>
      </c>
      <c r="F22" s="49">
        <f t="shared" ref="F22:F23" si="2">E38/IF(H22=0,1000000000000,H22)</f>
        <v>-1.578396129836979E-2</v>
      </c>
      <c r="G22" s="4" t="s">
        <v>118</v>
      </c>
      <c r="H22" s="29">
        <f>'CS_1 Y carriage and table'!B26</f>
        <v>6335.5451847394152</v>
      </c>
      <c r="I22" s="4" t="s">
        <v>86</v>
      </c>
      <c r="J22" s="49">
        <f>A50*F65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0</v>
      </c>
      <c r="Z22" s="29">
        <f t="array" ref="Z22:Z25">MMULT(T33:W36,Z15:Z18)</f>
        <v>0</v>
      </c>
      <c r="AA22" s="29">
        <f t="array" ref="AA22:AA25">MMULT(T33:W36,AA15:AA18)</f>
        <v>0</v>
      </c>
      <c r="AB22" s="29">
        <f t="array" ref="AB22:AB25">MMULT(T33:W36,AB15:AB18)</f>
        <v>2.1895294177730551E-4</v>
      </c>
    </row>
    <row r="23" spans="1:59" ht="15" customHeight="1">
      <c r="A23" s="320"/>
      <c r="B23" s="34" t="s">
        <v>78</v>
      </c>
      <c r="E23" s="46" t="s">
        <v>113</v>
      </c>
      <c r="F23" s="49">
        <f t="shared" si="2"/>
        <v>0</v>
      </c>
      <c r="G23" s="4" t="s">
        <v>119</v>
      </c>
      <c r="H23" s="29">
        <f>'CS_1 Y carriage and table'!B27</f>
        <v>2312800</v>
      </c>
      <c r="I23" s="4" t="s">
        <v>87</v>
      </c>
      <c r="J23" s="49">
        <f>A50*F66</f>
        <v>-4.3360720979913133E-4</v>
      </c>
      <c r="K23" s="4" t="s">
        <v>87</v>
      </c>
      <c r="L23" s="139">
        <v>-4.3360720979913133E-4</v>
      </c>
      <c r="N23" s="46" t="s">
        <v>112</v>
      </c>
      <c r="O23" s="50">
        <f>H15</f>
        <v>0</v>
      </c>
      <c r="P23" s="50">
        <f>H17*O30</f>
        <v>0</v>
      </c>
      <c r="Q23" s="50">
        <f>H18*P30</f>
        <v>0</v>
      </c>
      <c r="R23" s="50">
        <f>H19*Q30</f>
        <v>0</v>
      </c>
      <c r="S23" s="46" t="s">
        <v>112</v>
      </c>
      <c r="T23" s="50">
        <v>0</v>
      </c>
      <c r="U23" s="50">
        <v>0</v>
      </c>
      <c r="V23" s="50">
        <v>0</v>
      </c>
      <c r="W23" s="50">
        <v>0</v>
      </c>
      <c r="X23" s="70" t="s">
        <v>112</v>
      </c>
      <c r="Y23" s="29">
        <v>-2.5074668569440815E-2</v>
      </c>
      <c r="Z23" s="29">
        <v>0</v>
      </c>
      <c r="AA23" s="29">
        <v>0</v>
      </c>
      <c r="AB23" s="29">
        <v>-0.43790584702263968</v>
      </c>
    </row>
    <row r="24" spans="1:59" ht="15" customHeight="1">
      <c r="A24" s="320"/>
      <c r="B24" s="12" t="s">
        <v>79</v>
      </c>
      <c r="C24" s="31">
        <f>AC33+C20</f>
        <v>1000</v>
      </c>
      <c r="E24" s="4" t="s">
        <v>85</v>
      </c>
      <c r="F24" s="49">
        <f>E41/IF(H24=0,1000000000000,H24)+L21</f>
        <v>3.111508499147696E-5</v>
      </c>
      <c r="G24" s="46" t="s">
        <v>8</v>
      </c>
      <c r="H24" s="29">
        <f>'CS_1 Y carriage and table'!B29</f>
        <v>23262791666.666668</v>
      </c>
      <c r="I24" s="4" t="s">
        <v>305</v>
      </c>
      <c r="J24" s="29">
        <v>1</v>
      </c>
      <c r="K24" s="4" t="s">
        <v>305</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c r="A25" s="320"/>
      <c r="B25" s="12" t="s">
        <v>80</v>
      </c>
      <c r="C25" s="31">
        <f>AC34+C21</f>
        <v>500</v>
      </c>
      <c r="E25" s="4" t="s">
        <v>86</v>
      </c>
      <c r="F25" s="49">
        <f t="shared" ref="F25:F26" si="3">E42/IF(H25=0,1000000000000,H25)+L22</f>
        <v>0</v>
      </c>
      <c r="G25" s="46" t="s">
        <v>120</v>
      </c>
      <c r="H25" s="29">
        <f>'CS_1 Y carriage and table'!B30</f>
        <v>23532375000</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c r="A26" s="320"/>
      <c r="B26" s="12" t="s">
        <v>81</v>
      </c>
      <c r="C26" s="31">
        <f>AC35+C22</f>
        <v>0</v>
      </c>
      <c r="E26" s="4" t="s">
        <v>87</v>
      </c>
      <c r="F26" s="49">
        <f t="shared" si="3"/>
        <v>-4.3790592000695608E-4</v>
      </c>
      <c r="G26" s="46" t="s">
        <v>116</v>
      </c>
      <c r="H26" s="29">
        <f>'CS_1 Y carriage and table'!B31</f>
        <v>23262791666.666668</v>
      </c>
      <c r="K26" s="46"/>
      <c r="L26" s="46"/>
      <c r="S26" s="33"/>
      <c r="V26" s="5"/>
      <c r="AA26" s="5"/>
      <c r="AG26" s="5"/>
      <c r="AU26" s="5" t="s">
        <v>67</v>
      </c>
      <c r="AZ26" s="5" t="s">
        <v>92</v>
      </c>
      <c r="BE26" s="5" t="s">
        <v>97</v>
      </c>
    </row>
    <row r="27" spans="1:59">
      <c r="A27" s="320"/>
      <c r="B27" s="69" t="s">
        <v>184</v>
      </c>
      <c r="E27" s="94" t="s">
        <v>294</v>
      </c>
      <c r="G27" s="309" t="s">
        <v>293</v>
      </c>
      <c r="H27" s="310"/>
      <c r="I27" s="310"/>
      <c r="J27" s="310"/>
      <c r="K27" s="310"/>
      <c r="L27" s="311"/>
      <c r="M27" s="93" t="s">
        <v>295</v>
      </c>
      <c r="N27" s="84" t="s">
        <v>248</v>
      </c>
      <c r="O27" s="81"/>
      <c r="P27" s="81"/>
      <c r="Q27" s="81"/>
      <c r="R27" s="81"/>
      <c r="S27" s="81"/>
      <c r="AA27" s="8"/>
      <c r="AE27" s="45" t="s">
        <v>227</v>
      </c>
      <c r="AF27" s="91">
        <v>1E-3</v>
      </c>
      <c r="AG27" s="45"/>
      <c r="AH27" s="45"/>
      <c r="AI27" s="45"/>
      <c r="AJ27" s="45" t="s">
        <v>93</v>
      </c>
      <c r="AK27" s="92">
        <v>1E-3</v>
      </c>
      <c r="AL27" s="7"/>
      <c r="AM27" s="7"/>
      <c r="AN27" s="45"/>
      <c r="AO27" s="45" t="s">
        <v>226</v>
      </c>
      <c r="AP27" s="91">
        <v>1E-3</v>
      </c>
      <c r="AU27" s="7" t="s">
        <v>0</v>
      </c>
      <c r="AV27" s="7" t="s">
        <v>1</v>
      </c>
      <c r="AW27" s="7" t="s">
        <v>2</v>
      </c>
      <c r="AZ27" s="7" t="s">
        <v>0</v>
      </c>
      <c r="BA27" s="7" t="s">
        <v>1</v>
      </c>
      <c r="BB27" s="7" t="s">
        <v>2</v>
      </c>
      <c r="BE27" s="7" t="s">
        <v>0</v>
      </c>
      <c r="BF27" s="7" t="s">
        <v>1</v>
      </c>
      <c r="BG27" s="7" t="s">
        <v>2</v>
      </c>
    </row>
    <row r="28" spans="1:59" ht="17" customHeight="1">
      <c r="A28" s="320"/>
      <c r="B28" s="41" t="s">
        <v>100</v>
      </c>
      <c r="C28" s="42">
        <v>0</v>
      </c>
      <c r="E28" s="46" t="s">
        <v>84</v>
      </c>
      <c r="F28" s="49">
        <f t="array" ref="F28:F33">MMULT(G28:L33,M28:M33)</f>
        <v>0</v>
      </c>
      <c r="G28" s="132">
        <f>'CS_1 Y carriage and table'!G5</f>
        <v>1.4467592592592592E-6</v>
      </c>
      <c r="H28" s="132">
        <f>'CS_1 Y carriage and table'!H5</f>
        <v>0</v>
      </c>
      <c r="I28" s="132">
        <f>'CS_1 Y carriage and table'!I5</f>
        <v>0</v>
      </c>
      <c r="J28" s="132">
        <f>'CS_1 Y carriage and table'!J5</f>
        <v>0</v>
      </c>
      <c r="K28" s="132">
        <f>'CS_1 Y carriage and table'!K5</f>
        <v>0</v>
      </c>
      <c r="L28" s="132">
        <f>'CS_1 Y carriage and table'!L5</f>
        <v>0</v>
      </c>
      <c r="M28" s="29">
        <f>C28</f>
        <v>0</v>
      </c>
      <c r="N28" s="81"/>
      <c r="O28" s="85" t="s">
        <v>4</v>
      </c>
      <c r="P28" s="86" t="s">
        <v>5</v>
      </c>
      <c r="Q28" s="86" t="s">
        <v>6</v>
      </c>
      <c r="R28" s="86"/>
      <c r="S28" s="86"/>
      <c r="T28" s="26"/>
      <c r="U28" s="26"/>
      <c r="V28" s="26"/>
      <c r="W28" s="26"/>
      <c r="X28" s="26"/>
      <c r="Y28" s="26"/>
      <c r="Z28" s="26"/>
      <c r="AA28" s="26"/>
      <c r="AB28" t="s">
        <v>66</v>
      </c>
      <c r="AC28" s="29">
        <f>C13</f>
        <v>1000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1000</v>
      </c>
      <c r="AV28" s="49">
        <f>AU28-$AC28</f>
        <v>0</v>
      </c>
      <c r="AW28" s="49">
        <f>AV28/AF27</f>
        <v>0</v>
      </c>
      <c r="AX28" s="80"/>
      <c r="AY28" s="29" t="s">
        <v>63</v>
      </c>
      <c r="AZ28" s="49">
        <f t="array" ref="AZ28:AZ31">MMULT(AJ28:AM31,$AC28:$AC31)</f>
        <v>999.99950000004162</v>
      </c>
      <c r="BA28" s="49">
        <f>AZ28-$AC28</f>
        <v>-4.9999995837879396E-4</v>
      </c>
      <c r="BB28" s="49">
        <f>BA28/AK27</f>
        <v>-0.49999995837879396</v>
      </c>
      <c r="BC28" s="80"/>
      <c r="BD28" s="29" t="s">
        <v>63</v>
      </c>
      <c r="BE28" s="49">
        <f t="array" ref="BE28:BE31">MMULT(AO28:AR31,$AC28:$AC31)</f>
        <v>999.99950000004162</v>
      </c>
      <c r="BF28" s="49">
        <f>BE28-$AC28</f>
        <v>-4.9999995837879396E-4</v>
      </c>
      <c r="BG28" s="49">
        <f>BF28/AP27</f>
        <v>-0.49999995837879396</v>
      </c>
    </row>
    <row r="29" spans="1:59">
      <c r="A29" s="320"/>
      <c r="B29" s="41" t="s">
        <v>101</v>
      </c>
      <c r="C29" s="42">
        <v>-100</v>
      </c>
      <c r="E29" s="46" t="s">
        <v>112</v>
      </c>
      <c r="F29" s="49">
        <v>-9.2907072710710272E-3</v>
      </c>
      <c r="G29" s="132">
        <f>'CS_1 Y carriage and table'!G6</f>
        <v>0</v>
      </c>
      <c r="H29" s="132">
        <f>'CS_1 Y carriage and table'!H6</f>
        <v>9.2907072710710266E-5</v>
      </c>
      <c r="I29" s="132">
        <f>'CS_1 Y carriage and table'!I6</f>
        <v>0</v>
      </c>
      <c r="J29" s="132">
        <f>'CS_1 Y carriage and table'!J6</f>
        <v>0</v>
      </c>
      <c r="K29" s="132">
        <f>'CS_1 Y carriage and table'!K6</f>
        <v>0</v>
      </c>
      <c r="L29" s="132">
        <f>'CS_1 Y carriage and table'!L6</f>
        <v>1.393606090660654E-7</v>
      </c>
      <c r="M29" s="29">
        <f t="shared" ref="M29:M30" si="4">C29</f>
        <v>-100</v>
      </c>
      <c r="N29" s="87" t="s">
        <v>84</v>
      </c>
      <c r="O29" s="88">
        <f>AW28</f>
        <v>0</v>
      </c>
      <c r="P29" s="88">
        <f>BB28</f>
        <v>-0.49999995837879396</v>
      </c>
      <c r="Q29" s="88">
        <f>BG28</f>
        <v>-0.49999995837879396</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0</v>
      </c>
      <c r="AV29" s="49">
        <f>AU29-$AC29</f>
        <v>0</v>
      </c>
      <c r="AW29" s="49">
        <f>AV29/AF27</f>
        <v>0</v>
      </c>
      <c r="AX29" s="80"/>
      <c r="AY29" s="29" t="s">
        <v>64</v>
      </c>
      <c r="AZ29" s="49">
        <v>0</v>
      </c>
      <c r="BA29" s="49">
        <f>AZ29-$AC29</f>
        <v>0</v>
      </c>
      <c r="BB29" s="49">
        <f>BA29/AK27</f>
        <v>0</v>
      </c>
      <c r="BC29" s="80"/>
      <c r="BD29" s="29" t="s">
        <v>64</v>
      </c>
      <c r="BE29" s="49">
        <v>0.99999983333334164</v>
      </c>
      <c r="BF29" s="49">
        <f>BE29-$AC29</f>
        <v>0.99999983333334164</v>
      </c>
      <c r="BG29" s="49">
        <f>BF29/AP27</f>
        <v>999.9998333333416</v>
      </c>
    </row>
    <row r="30" spans="1:59">
      <c r="A30" s="320"/>
      <c r="B30" s="41" t="s">
        <v>102</v>
      </c>
      <c r="C30" s="42">
        <v>0</v>
      </c>
      <c r="E30" s="46" t="s">
        <v>113</v>
      </c>
      <c r="F30" s="49">
        <v>0</v>
      </c>
      <c r="G30" s="132">
        <f>'CS_1 Y carriage and table'!G7</f>
        <v>0</v>
      </c>
      <c r="H30" s="132">
        <f>'CS_1 Y carriage and table'!H7</f>
        <v>0</v>
      </c>
      <c r="I30" s="132">
        <f>'CS_1 Y carriage and table'!I7</f>
        <v>2.7822887953446299E-4</v>
      </c>
      <c r="J30" s="132">
        <f>'CS_1 Y carriage and table'!J7</f>
        <v>0</v>
      </c>
      <c r="K30" s="132">
        <f>'CS_1 Y carriage and table'!K7</f>
        <v>-4.1734331930169447E-7</v>
      </c>
      <c r="L30" s="132">
        <f>'CS_1 Y carriage and table'!L7</f>
        <v>0</v>
      </c>
      <c r="M30" s="29">
        <f t="shared" si="4"/>
        <v>0</v>
      </c>
      <c r="N30" s="87" t="s">
        <v>112</v>
      </c>
      <c r="O30" s="88">
        <f t="shared" ref="O30:O31" si="5">AW29</f>
        <v>0</v>
      </c>
      <c r="P30" s="88">
        <f t="shared" ref="P30:P31" si="6">BB29</f>
        <v>0</v>
      </c>
      <c r="Q30" s="88">
        <f t="shared" ref="Q30:Q31" si="7">BG29</f>
        <v>999.9998333333416</v>
      </c>
      <c r="R30" s="81"/>
      <c r="S30" s="81"/>
      <c r="AB30" t="s">
        <v>72</v>
      </c>
      <c r="AC30" s="29">
        <f>C15</f>
        <v>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0</v>
      </c>
      <c r="AV30" s="49">
        <f>AU30-$AC30</f>
        <v>0</v>
      </c>
      <c r="AW30" s="49">
        <f>AV30/AF27</f>
        <v>0</v>
      </c>
      <c r="AX30" s="80"/>
      <c r="AY30" s="29" t="s">
        <v>65</v>
      </c>
      <c r="AZ30" s="49">
        <v>-0.99999983333334164</v>
      </c>
      <c r="BA30" s="49">
        <f>AZ30-$AC30</f>
        <v>-0.99999983333334164</v>
      </c>
      <c r="BB30" s="49">
        <f>BA30/AK27</f>
        <v>-999.9998333333416</v>
      </c>
      <c r="BC30" s="80"/>
      <c r="BD30" s="29" t="s">
        <v>65</v>
      </c>
      <c r="BE30" s="49">
        <v>0</v>
      </c>
      <c r="BF30" s="49">
        <f>BE30-$AC30</f>
        <v>0</v>
      </c>
      <c r="BG30" s="49">
        <f>BF30/AP27</f>
        <v>0</v>
      </c>
    </row>
    <row r="31" spans="1:59" ht="15" customHeight="1">
      <c r="A31" s="320"/>
      <c r="B31" s="41" t="s">
        <v>108</v>
      </c>
      <c r="C31" s="43">
        <v>1</v>
      </c>
      <c r="E31" s="4" t="s">
        <v>85</v>
      </c>
      <c r="F31" s="49">
        <v>0</v>
      </c>
      <c r="G31" s="132">
        <f>'CS_1 Y carriage and table'!G8</f>
        <v>0</v>
      </c>
      <c r="H31" s="132">
        <f>'CS_1 Y carriage and table'!H8</f>
        <v>0</v>
      </c>
      <c r="I31" s="132">
        <f>'CS_1 Y carriage and table'!I8</f>
        <v>0</v>
      </c>
      <c r="J31" s="132">
        <f>'CS_1 Y carriage and table'!J8</f>
        <v>3.6084615247308801E-10</v>
      </c>
      <c r="K31" s="132">
        <f>'CS_1 Y carriage and table'!K8</f>
        <v>0</v>
      </c>
      <c r="L31" s="132">
        <f>'CS_1 Y carriage and table'!L8</f>
        <v>0</v>
      </c>
      <c r="M31" s="29">
        <f>C32</f>
        <v>0</v>
      </c>
      <c r="N31" s="87" t="s">
        <v>113</v>
      </c>
      <c r="O31" s="88">
        <f t="shared" si="5"/>
        <v>0</v>
      </c>
      <c r="P31" s="88">
        <f t="shared" si="6"/>
        <v>-999.9998333333416</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c r="A32" s="320"/>
      <c r="B32" s="41" t="s">
        <v>103</v>
      </c>
      <c r="C32" s="42">
        <v>0</v>
      </c>
      <c r="E32" s="4" t="s">
        <v>86</v>
      </c>
      <c r="F32" s="49">
        <v>0</v>
      </c>
      <c r="G32" s="132">
        <f>'CS_1 Y carriage and table'!G9</f>
        <v>0</v>
      </c>
      <c r="H32" s="132">
        <f>'CS_1 Y carriage and table'!H9</f>
        <v>0</v>
      </c>
      <c r="I32" s="132">
        <f>'CS_1 Y carriage and table'!I9</f>
        <v>-4.1734331930169447E-7</v>
      </c>
      <c r="J32" s="132">
        <f>'CS_1 Y carriage and table'!J9</f>
        <v>0</v>
      </c>
      <c r="K32" s="132">
        <f>'CS_1 Y carriage and table'!K9</f>
        <v>8.3468663860338894E-10</v>
      </c>
      <c r="L32" s="132">
        <f>'CS_1 Y carriage and table'!L9</f>
        <v>0</v>
      </c>
      <c r="M32" s="29">
        <f>C33</f>
        <v>0</v>
      </c>
      <c r="O32" s="3" t="s">
        <v>82</v>
      </c>
      <c r="T32" s="3" t="s">
        <v>83</v>
      </c>
      <c r="AE32" t="s">
        <v>95</v>
      </c>
      <c r="AJ32" t="s">
        <v>94</v>
      </c>
      <c r="AO32" t="s">
        <v>96</v>
      </c>
    </row>
    <row r="33" spans="1:71" ht="15" customHeight="1">
      <c r="A33" s="320"/>
      <c r="B33" s="41" t="s">
        <v>104</v>
      </c>
      <c r="C33" s="42">
        <v>0</v>
      </c>
      <c r="E33" s="4" t="s">
        <v>87</v>
      </c>
      <c r="F33" s="49">
        <v>-1.3936060906606541E-5</v>
      </c>
      <c r="G33" s="132">
        <f>'CS_1 Y carriage and table'!G10</f>
        <v>0</v>
      </c>
      <c r="H33" s="132">
        <f>'CS_1 Y carriage and table'!H10</f>
        <v>1.393606090660654E-7</v>
      </c>
      <c r="I33" s="132">
        <f>'CS_1 Y carriage and table'!I10</f>
        <v>0</v>
      </c>
      <c r="J33" s="132">
        <f>'CS_1 Y carriage and table'!J10</f>
        <v>0</v>
      </c>
      <c r="K33" s="132">
        <f>'CS_1 Y carriage and table'!K10</f>
        <v>0</v>
      </c>
      <c r="L33" s="132">
        <f>'CS_1 Y carriage and table'!L10</f>
        <v>3.6084615247308801E-10</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1000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c r="A34" s="320"/>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c r="A35" s="320"/>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6" customHeight="1">
      <c r="A36" s="320"/>
      <c r="B36" s="159" t="s">
        <v>334</v>
      </c>
      <c r="C36" s="40"/>
      <c r="D36" s="103" t="s">
        <v>246</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6" customHeight="1">
      <c r="A37" s="320"/>
      <c r="B37" s="41" t="s">
        <v>100</v>
      </c>
      <c r="C37" s="42">
        <v>0</v>
      </c>
      <c r="D37" s="41" t="s">
        <v>100</v>
      </c>
      <c r="E37" s="43">
        <f>C28+C37</f>
        <v>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6" customHeight="1">
      <c r="A38" s="320"/>
      <c r="B38" s="41" t="s">
        <v>101</v>
      </c>
      <c r="C38" s="42">
        <v>0</v>
      </c>
      <c r="D38" s="41" t="s">
        <v>101</v>
      </c>
      <c r="E38" s="43">
        <f>C29+C38</f>
        <v>-100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6" customHeight="1">
      <c r="A39" s="320"/>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6" customHeight="1">
      <c r="A40" s="320"/>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6" customHeight="1">
      <c r="A41" s="320"/>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6" customHeight="1">
      <c r="A42" s="320"/>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6" customHeight="1">
      <c r="A43" s="320"/>
      <c r="B43" s="130" t="s">
        <v>105</v>
      </c>
      <c r="C43" s="133">
        <v>0</v>
      </c>
      <c r="D43" s="41" t="s">
        <v>105</v>
      </c>
      <c r="E43" s="43">
        <f>C34+C43+C29*C13-C28*C14</f>
        <v>-100000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6" customHeight="1" thickBot="1">
      <c r="A44" s="321"/>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c r="A45" s="316" t="s">
        <v>324</v>
      </c>
      <c r="B45" s="68" t="s">
        <v>250</v>
      </c>
      <c r="E45" s="1" t="s">
        <v>141</v>
      </c>
    </row>
    <row r="46" spans="1:71" ht="15" customHeight="1">
      <c r="A46" s="316"/>
      <c r="B46" s="12" t="s">
        <v>73</v>
      </c>
      <c r="C46" s="56">
        <f>C24</f>
        <v>1000</v>
      </c>
      <c r="E46" s="301" t="s">
        <v>138</v>
      </c>
      <c r="F46" s="301"/>
      <c r="G46" s="301" t="s">
        <v>139</v>
      </c>
      <c r="H46" s="301"/>
      <c r="N46" s="34" t="s">
        <v>98</v>
      </c>
      <c r="O46" s="1"/>
      <c r="P46" s="67"/>
      <c r="Q46" s="1"/>
      <c r="R46" s="1"/>
      <c r="S46" s="34" t="s">
        <v>136</v>
      </c>
      <c r="Y46" s="94" t="s">
        <v>297</v>
      </c>
    </row>
    <row r="47" spans="1:71" ht="15" customHeight="1">
      <c r="A47" s="316"/>
      <c r="B47" s="12" t="s">
        <v>74</v>
      </c>
      <c r="C47" s="56">
        <f>C25</f>
        <v>500</v>
      </c>
      <c r="E47" s="46" t="s">
        <v>84</v>
      </c>
      <c r="F47" s="48">
        <f>'CS_2 vertical axis'!B45</f>
        <v>5.0000000000000001E-3</v>
      </c>
      <c r="G47" s="46" t="s">
        <v>84</v>
      </c>
      <c r="H47" s="48">
        <f>'CS_2 vertical axis'!B52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c r="A48" s="316"/>
      <c r="B48" s="12" t="s">
        <v>75</v>
      </c>
      <c r="C48" s="56">
        <f>C26</f>
        <v>0</v>
      </c>
      <c r="E48" s="46" t="s">
        <v>112</v>
      </c>
      <c r="F48" s="48">
        <f>'CS_2 vertical axis'!B46</f>
        <v>5.0000000000000001E-3</v>
      </c>
      <c r="G48" s="46" t="s">
        <v>112</v>
      </c>
      <c r="H48" s="48">
        <f>'CS_2 vertical axis'!B53</f>
        <v>0</v>
      </c>
      <c r="N48" s="46" t="s">
        <v>84</v>
      </c>
      <c r="O48" s="50">
        <f>ABS(F47)</f>
        <v>5.0000000000000001E-3</v>
      </c>
      <c r="P48" s="50">
        <f>ABS(F50*O62)</f>
        <v>0</v>
      </c>
      <c r="Q48" s="50">
        <f>ABS(F51*P62)</f>
        <v>2.49999979189397E-6</v>
      </c>
      <c r="R48" s="50">
        <f>ABS(F52*Q62)</f>
        <v>6.6733322216669042E-2</v>
      </c>
      <c r="S48" s="46" t="s">
        <v>84</v>
      </c>
      <c r="T48" s="49">
        <f t="array" ref="T48:W51">ABS(MMULT(T66:W69,O48:R51))</f>
        <v>5.0000000000000001E-3</v>
      </c>
      <c r="U48" s="49">
        <v>0</v>
      </c>
      <c r="V48" s="49">
        <v>2.49999979189397E-6</v>
      </c>
      <c r="W48" s="49">
        <v>6.6733322216669042E-2</v>
      </c>
      <c r="X48" s="70" t="s">
        <v>84</v>
      </c>
      <c r="Y48" s="49">
        <f>F54+F61</f>
        <v>0</v>
      </c>
      <c r="Z48" s="29">
        <f>F57*O62</f>
        <v>0</v>
      </c>
      <c r="AA48" s="29">
        <f>F58*P62</f>
        <v>0</v>
      </c>
      <c r="AB48" s="29">
        <f>F59*Q62</f>
        <v>1.6981689402700804E-2</v>
      </c>
    </row>
    <row r="49" spans="1:59" ht="15" customHeight="1">
      <c r="A49" s="60">
        <v>2</v>
      </c>
      <c r="B49" s="1" t="s">
        <v>76</v>
      </c>
      <c r="E49" s="46" t="s">
        <v>113</v>
      </c>
      <c r="F49" s="48">
        <f>'CS_2 vertical axis'!B47</f>
        <v>5.0000000000000001E-3</v>
      </c>
      <c r="G49" s="46" t="s">
        <v>113</v>
      </c>
      <c r="H49" s="48">
        <f>'CS_2 vertical axis'!B54</f>
        <v>0</v>
      </c>
      <c r="N49" s="46" t="s">
        <v>112</v>
      </c>
      <c r="O49" s="50">
        <f t="shared" ref="O49:O50" si="8">ABS(F48)</f>
        <v>5.0000000000000001E-3</v>
      </c>
      <c r="P49" s="50">
        <f>ABS(F50*O63)</f>
        <v>1.249999895946985E-6</v>
      </c>
      <c r="Q49" s="50">
        <f>ABS(F51*P63)</f>
        <v>0</v>
      </c>
      <c r="R49" s="50">
        <f>ABS(F52*Q63)</f>
        <v>0.13329997778055272</v>
      </c>
      <c r="S49" s="46" t="s">
        <v>112</v>
      </c>
      <c r="T49" s="49">
        <v>5.0000000000000001E-3</v>
      </c>
      <c r="U49" s="49">
        <v>1.249999895946985E-6</v>
      </c>
      <c r="V49" s="49">
        <v>0</v>
      </c>
      <c r="W49" s="49">
        <v>0.13329997778055272</v>
      </c>
      <c r="X49" s="70" t="s">
        <v>112</v>
      </c>
      <c r="Y49" s="49">
        <f t="shared" ref="Y49:Y50" si="9">F55+F62</f>
        <v>-7.3375595364727361E-2</v>
      </c>
      <c r="Z49" s="29">
        <f>F57*O63</f>
        <v>0</v>
      </c>
      <c r="AA49" s="29">
        <f>F58*P63</f>
        <v>0</v>
      </c>
      <c r="AB49" s="29">
        <f>F59*Q63</f>
        <v>-3.3920966990173836E-2</v>
      </c>
    </row>
    <row r="50" spans="1:59" ht="15" customHeight="1">
      <c r="A50" s="43">
        <f>IF(A49&gt;Naxes,0,1)</f>
        <v>1</v>
      </c>
      <c r="B50" s="2" t="s">
        <v>177</v>
      </c>
      <c r="C50" s="37">
        <v>0</v>
      </c>
      <c r="E50" s="4" t="s">
        <v>85</v>
      </c>
      <c r="F50" s="48">
        <f>'CS_2 vertical axis'!B48</f>
        <v>5.0000000000000004E-6</v>
      </c>
      <c r="G50" s="4" t="s">
        <v>85</v>
      </c>
      <c r="H50" s="48">
        <f>'CS_2 vertical axis'!B55</f>
        <v>0</v>
      </c>
      <c r="N50" s="46" t="s">
        <v>113</v>
      </c>
      <c r="O50" s="50">
        <f t="shared" si="8"/>
        <v>5.0000000000000001E-3</v>
      </c>
      <c r="P50" s="50">
        <f>ABS(F50*O64)</f>
        <v>2.499999583333354E-3</v>
      </c>
      <c r="Q50" s="50">
        <f>ABS(F51*P64)</f>
        <v>4.999999166666708E-3</v>
      </c>
      <c r="R50" s="50">
        <f>ABS(F52*Q64)</f>
        <v>0</v>
      </c>
      <c r="S50" s="46" t="s">
        <v>113</v>
      </c>
      <c r="T50" s="49">
        <v>5.0000000000000001E-3</v>
      </c>
      <c r="U50" s="49">
        <v>2.499999583333354E-3</v>
      </c>
      <c r="V50" s="49">
        <v>4.999999166666708E-3</v>
      </c>
      <c r="W50" s="49">
        <v>0</v>
      </c>
      <c r="X50" s="70" t="s">
        <v>113</v>
      </c>
      <c r="Y50" s="49">
        <f t="shared" si="9"/>
        <v>0</v>
      </c>
      <c r="Z50" s="29">
        <f>F57*O64</f>
        <v>0</v>
      </c>
      <c r="AA50" s="29">
        <f>F58*P64</f>
        <v>0</v>
      </c>
      <c r="AB50" s="29">
        <f>F59*Q64</f>
        <v>0</v>
      </c>
    </row>
    <row r="51" spans="1:59" ht="15" customHeight="1">
      <c r="A51" s="318" t="s">
        <v>127</v>
      </c>
      <c r="B51" s="2" t="s">
        <v>179</v>
      </c>
      <c r="C51" s="37">
        <v>0</v>
      </c>
      <c r="E51" s="4" t="s">
        <v>86</v>
      </c>
      <c r="F51" s="48">
        <f>'CS_2 vertical axis'!B49</f>
        <v>5.0000000000000004E-6</v>
      </c>
      <c r="G51" s="4" t="s">
        <v>86</v>
      </c>
      <c r="H51" s="48">
        <f>'CS_2 vertical axis'!B56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c r="A52" s="318"/>
      <c r="B52" s="2" t="s">
        <v>178</v>
      </c>
      <c r="C52" s="37">
        <v>0</v>
      </c>
      <c r="E52" s="4" t="s">
        <v>87</v>
      </c>
      <c r="F52" s="48">
        <f>'CS_2 vertical axis'!B50</f>
        <v>1.3333333333333348E-4</v>
      </c>
      <c r="G52" s="4" t="s">
        <v>87</v>
      </c>
      <c r="H52" s="48">
        <f>'CS_2 vertical axis'!B57</f>
        <v>0</v>
      </c>
      <c r="X52" s="6"/>
    </row>
    <row r="53" spans="1:59" ht="30" customHeight="1">
      <c r="A53" s="318"/>
      <c r="B53" s="2" t="s">
        <v>245</v>
      </c>
      <c r="C53" s="37">
        <v>0</v>
      </c>
      <c r="E53" s="299" t="s">
        <v>303</v>
      </c>
      <c r="F53" s="299"/>
      <c r="G53" s="301" t="s">
        <v>251</v>
      </c>
      <c r="H53" s="301"/>
      <c r="I53" s="299" t="s">
        <v>306</v>
      </c>
      <c r="J53" s="299"/>
      <c r="K53" s="299" t="s">
        <v>304</v>
      </c>
      <c r="L53" s="299"/>
      <c r="N53" s="34" t="s">
        <v>99</v>
      </c>
      <c r="O53" s="1"/>
      <c r="P53" s="67"/>
      <c r="Q53" s="1"/>
      <c r="R53" s="1"/>
      <c r="S53" s="34" t="s">
        <v>137</v>
      </c>
      <c r="X53" s="6"/>
      <c r="Y53" s="94" t="s">
        <v>296</v>
      </c>
    </row>
    <row r="54" spans="1:59" ht="15" customHeight="1">
      <c r="A54" s="318"/>
      <c r="B54" s="2" t="s">
        <v>77</v>
      </c>
      <c r="C54" s="38">
        <v>0</v>
      </c>
      <c r="E54" s="46" t="s">
        <v>84</v>
      </c>
      <c r="F54" s="49">
        <f>E70/IF(H54=0,1000000000000,H54)</f>
        <v>0</v>
      </c>
      <c r="G54" s="4" t="s">
        <v>117</v>
      </c>
      <c r="H54" s="29">
        <f>'CS_2 vertical axis'!B25</f>
        <v>2000000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c r="A55" s="312" t="s">
        <v>406</v>
      </c>
      <c r="B55" s="2" t="s">
        <v>107</v>
      </c>
      <c r="C55" s="376">
        <f>-(Summary!K11+Summary!L11)</f>
        <v>0</v>
      </c>
      <c r="E55" s="46" t="s">
        <v>112</v>
      </c>
      <c r="F55" s="49">
        <f t="shared" ref="F55:F56" si="10">E71/IF(H55=0,1000000000000,H55)</f>
        <v>-5.0000000000000002E-5</v>
      </c>
      <c r="G55" s="4" t="s">
        <v>118</v>
      </c>
      <c r="H55" s="29">
        <f>'CS_2 vertical axis'!B26</f>
        <v>2000000</v>
      </c>
      <c r="I55" s="4" t="s">
        <v>86</v>
      </c>
      <c r="J55" s="49">
        <f>A83*F98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0</v>
      </c>
      <c r="Z55" s="29">
        <f t="array" ref="Z55:Z58">MMULT(T66:W69,Z48:Z51)</f>
        <v>0</v>
      </c>
      <c r="AA55" s="29">
        <f t="array" ref="AA55:AA58">MMULT(T66:W69,AA48:AA51)</f>
        <v>0</v>
      </c>
      <c r="AB55" s="29">
        <f t="array" ref="AB55:AB58">MMULT(T66:W69,AB48:AB51)</f>
        <v>1.6981689402700804E-2</v>
      </c>
    </row>
    <row r="56" spans="1:59" ht="15" customHeight="1">
      <c r="A56" s="313"/>
      <c r="B56" s="34" t="s">
        <v>78</v>
      </c>
      <c r="E56" s="46" t="s">
        <v>113</v>
      </c>
      <c r="F56" s="49">
        <f t="shared" si="10"/>
        <v>0</v>
      </c>
      <c r="G56" s="4" t="s">
        <v>119</v>
      </c>
      <c r="H56" s="29">
        <f>'CS_2 vertical axis'!B27</f>
        <v>2000000</v>
      </c>
      <c r="I56" s="4" t="s">
        <v>87</v>
      </c>
      <c r="J56" s="49">
        <f>A83*F99</f>
        <v>0</v>
      </c>
      <c r="K56" s="4" t="s">
        <v>87</v>
      </c>
      <c r="L56" s="139">
        <v>0</v>
      </c>
      <c r="N56" s="46" t="s">
        <v>112</v>
      </c>
      <c r="O56" s="50">
        <f>H48</f>
        <v>0</v>
      </c>
      <c r="P56" s="50">
        <f>H50*O63</f>
        <v>0</v>
      </c>
      <c r="Q56" s="50">
        <f>H51*P63</f>
        <v>0</v>
      </c>
      <c r="R56" s="50">
        <f>H52*Q63</f>
        <v>0</v>
      </c>
      <c r="S56" s="46" t="s">
        <v>112</v>
      </c>
      <c r="T56" s="50">
        <v>0</v>
      </c>
      <c r="U56" s="50">
        <v>0</v>
      </c>
      <c r="V56" s="50">
        <v>0</v>
      </c>
      <c r="W56" s="50">
        <v>0</v>
      </c>
      <c r="X56" s="70" t="s">
        <v>112</v>
      </c>
      <c r="Y56" s="29">
        <v>-7.3375595364727361E-2</v>
      </c>
      <c r="Z56" s="29">
        <v>0</v>
      </c>
      <c r="AA56" s="29">
        <v>0</v>
      </c>
      <c r="AB56" s="29">
        <v>-3.3920966990173836E-2</v>
      </c>
    </row>
    <row r="57" spans="1:59" ht="15" customHeight="1">
      <c r="A57" s="313"/>
      <c r="B57" s="12" t="s">
        <v>79</v>
      </c>
      <c r="C57" s="31">
        <f>AC66+C53</f>
        <v>1000</v>
      </c>
      <c r="E57" s="4" t="s">
        <v>85</v>
      </c>
      <c r="F57" s="49">
        <f>E74/IF(H57=0,1000000000000,H57)+L54</f>
        <v>0</v>
      </c>
      <c r="G57" s="46" t="s">
        <v>8</v>
      </c>
      <c r="H57" s="29">
        <f>'CS_2 vertical axis'!B29</f>
        <v>2000404375000</v>
      </c>
      <c r="I57" s="4" t="s">
        <v>305</v>
      </c>
      <c r="J57" s="29">
        <v>1</v>
      </c>
      <c r="K57" s="4" t="s">
        <v>305</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c r="A58" s="313"/>
      <c r="B58" s="12" t="s">
        <v>80</v>
      </c>
      <c r="C58" s="31">
        <f>AC67+C54</f>
        <v>500</v>
      </c>
      <c r="E58" s="4" t="s">
        <v>86</v>
      </c>
      <c r="F58" s="49">
        <f t="shared" ref="F58:F59" si="11">E75/IF(H58=0,1000000000000,H58)+L55</f>
        <v>0</v>
      </c>
      <c r="G58" s="46" t="s">
        <v>120</v>
      </c>
      <c r="H58" s="29">
        <f>'CS_2 vertical axis'!B30</f>
        <v>2002947291666.6667</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c r="A59" s="313"/>
      <c r="B59" s="12" t="s">
        <v>81</v>
      </c>
      <c r="C59" s="31">
        <f>AC68+C55</f>
        <v>0</v>
      </c>
      <c r="E59" s="4" t="s">
        <v>87</v>
      </c>
      <c r="F59" s="49">
        <f t="shared" si="11"/>
        <v>-3.3929455008128932E-5</v>
      </c>
      <c r="G59" s="46" t="s">
        <v>116</v>
      </c>
      <c r="H59" s="29">
        <f>'CS_2 vertical axis'!B31</f>
        <v>2947291666.6666665</v>
      </c>
      <c r="AB59" s="5"/>
      <c r="AU59" s="5" t="s">
        <v>67</v>
      </c>
      <c r="AZ59" s="5" t="s">
        <v>92</v>
      </c>
      <c r="BE59" s="5" t="s">
        <v>97</v>
      </c>
    </row>
    <row r="60" spans="1:59" ht="30">
      <c r="A60" s="313"/>
      <c r="B60" s="69" t="s">
        <v>106</v>
      </c>
      <c r="E60" s="301" t="s">
        <v>294</v>
      </c>
      <c r="F60" s="315"/>
      <c r="G60" s="309" t="s">
        <v>293</v>
      </c>
      <c r="H60" s="310"/>
      <c r="I60" s="310"/>
      <c r="J60" s="310"/>
      <c r="K60" s="310"/>
      <c r="L60" s="311"/>
      <c r="M60" s="93" t="s">
        <v>295</v>
      </c>
      <c r="N60" s="84" t="s">
        <v>248</v>
      </c>
      <c r="AE60" s="45" t="s">
        <v>227</v>
      </c>
      <c r="AF60" s="91">
        <v>1E-3</v>
      </c>
      <c r="AG60" s="45"/>
      <c r="AH60" s="45"/>
      <c r="AI60" s="45"/>
      <c r="AJ60" s="45" t="s">
        <v>93</v>
      </c>
      <c r="AK60" s="92">
        <v>1E-3</v>
      </c>
      <c r="AL60" s="7"/>
      <c r="AM60" s="7"/>
      <c r="AN60" s="45"/>
      <c r="AO60" s="45" t="s">
        <v>226</v>
      </c>
      <c r="AP60" s="91">
        <v>1E-3</v>
      </c>
      <c r="AU60" s="7" t="s">
        <v>0</v>
      </c>
      <c r="AV60" s="7" t="s">
        <v>1</v>
      </c>
      <c r="AW60" s="7" t="s">
        <v>2</v>
      </c>
      <c r="AZ60" s="7" t="s">
        <v>0</v>
      </c>
      <c r="BA60" s="7" t="s">
        <v>1</v>
      </c>
      <c r="BB60" s="7" t="s">
        <v>2</v>
      </c>
      <c r="BE60" s="7" t="s">
        <v>0</v>
      </c>
      <c r="BF60" s="7" t="s">
        <v>1</v>
      </c>
      <c r="BG60" s="7" t="s">
        <v>2</v>
      </c>
    </row>
    <row r="61" spans="1:59" ht="15" customHeight="1">
      <c r="A61" s="313"/>
      <c r="B61" s="41" t="s">
        <v>100</v>
      </c>
      <c r="C61" s="43">
        <f t="array" ref="C61:C64">MMULT(O33:R36,E37:E40)</f>
        <v>0</v>
      </c>
      <c r="E61" s="46" t="s">
        <v>84</v>
      </c>
      <c r="F61" s="49">
        <f t="array" ref="F61:F66">MMULT(G61:L66,M61:M66)</f>
        <v>0</v>
      </c>
      <c r="G61" s="132">
        <f>'CS_2 vertical axis'!G5</f>
        <v>3.2589153495434393E-4</v>
      </c>
      <c r="H61" s="132">
        <f>'CS_2 vertical axis'!H5</f>
        <v>0</v>
      </c>
      <c r="I61" s="132">
        <f>'CS_2 vertical axis'!I5</f>
        <v>0</v>
      </c>
      <c r="J61" s="132">
        <f>'CS_2 vertical axis'!J5</f>
        <v>0</v>
      </c>
      <c r="K61" s="132">
        <f>'CS_2 vertical axis'!K5</f>
        <v>3.1115084991476958E-7</v>
      </c>
      <c r="L61" s="132">
        <f>'CS_2 vertical axis'!L5</f>
        <v>0</v>
      </c>
      <c r="M61" s="29">
        <f>C61</f>
        <v>0</v>
      </c>
      <c r="O61" s="7" t="s">
        <v>4</v>
      </c>
      <c r="P61" s="26" t="s">
        <v>5</v>
      </c>
      <c r="Q61" s="26" t="s">
        <v>6</v>
      </c>
      <c r="R61" s="26"/>
      <c r="S61" s="26"/>
      <c r="T61" s="26"/>
      <c r="U61" s="26"/>
      <c r="V61" s="26"/>
      <c r="W61" s="26"/>
      <c r="X61" s="26"/>
      <c r="Y61" s="26"/>
      <c r="Z61" s="26"/>
      <c r="AA61" s="26"/>
      <c r="AB61" t="s">
        <v>66</v>
      </c>
      <c r="AC61" s="29">
        <f>C46</f>
        <v>1000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1000</v>
      </c>
      <c r="AV61" s="49">
        <f>AU61-$AC61</f>
        <v>0</v>
      </c>
      <c r="AW61" s="49">
        <f>AV61/AF60</f>
        <v>0</v>
      </c>
      <c r="AX61" s="80"/>
      <c r="AY61" s="29" t="s">
        <v>63</v>
      </c>
      <c r="AZ61" s="49">
        <f t="array" ref="AZ61:AZ64">MMULT(AJ61:AM64,$AC61:$AC64)</f>
        <v>999.99950000004162</v>
      </c>
      <c r="BA61" s="49">
        <f>AZ61-$AC61</f>
        <v>-4.9999995837879396E-4</v>
      </c>
      <c r="BB61" s="49">
        <f>BA61/AK60</f>
        <v>-0.49999995837879396</v>
      </c>
      <c r="BC61" s="80"/>
      <c r="BD61" s="29" t="s">
        <v>63</v>
      </c>
      <c r="BE61" s="49">
        <f t="array" ref="BE61:BE64">MMULT(AO61:AR64,$AC61:$AC64)</f>
        <v>999.49950008337498</v>
      </c>
      <c r="BF61" s="49">
        <f>BE61-$AC61</f>
        <v>-0.50049991662501725</v>
      </c>
      <c r="BG61" s="49">
        <f>BF61/AP60</f>
        <v>-500.49991662501725</v>
      </c>
    </row>
    <row r="62" spans="1:59">
      <c r="A62" s="313"/>
      <c r="B62" s="41" t="s">
        <v>101</v>
      </c>
      <c r="C62" s="43">
        <v>-100</v>
      </c>
      <c r="E62" s="46" t="s">
        <v>112</v>
      </c>
      <c r="F62" s="49">
        <v>-7.3325595364727367E-2</v>
      </c>
      <c r="G62" s="132">
        <f>'CS_2 vertical axis'!G6</f>
        <v>0</v>
      </c>
      <c r="H62" s="132">
        <f>'CS_2 vertical axis'!H6</f>
        <v>7.3325595364727371E-4</v>
      </c>
      <c r="I62" s="132">
        <f>'CS_2 vertical axis'!I6</f>
        <v>0</v>
      </c>
      <c r="J62" s="132">
        <f>'CS_2 vertical axis'!J6</f>
        <v>-3.1115084991476958E-7</v>
      </c>
      <c r="K62" s="132">
        <f>'CS_2 vertical axis'!K6</f>
        <v>0</v>
      </c>
      <c r="L62" s="132">
        <f>'CS_2 vertical axis'!L6</f>
        <v>0</v>
      </c>
      <c r="M62" s="29">
        <f t="shared" ref="M62:M63" si="12">C62</f>
        <v>-100</v>
      </c>
      <c r="N62" s="46" t="s">
        <v>84</v>
      </c>
      <c r="O62" s="31">
        <f>AW61</f>
        <v>0</v>
      </c>
      <c r="P62" s="31">
        <f>BB61</f>
        <v>-0.49999995837879396</v>
      </c>
      <c r="Q62" s="31">
        <f>BG61</f>
        <v>-500.49991662501725</v>
      </c>
      <c r="AB62" t="s">
        <v>71</v>
      </c>
      <c r="AC62" s="29">
        <f>C47</f>
        <v>500</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499.99975000002081</v>
      </c>
      <c r="AV62" s="49">
        <f>AU62-$AC62</f>
        <v>-2.4999997918939698E-4</v>
      </c>
      <c r="AW62" s="49">
        <f>AV62/AF60</f>
        <v>-0.24999997918939698</v>
      </c>
      <c r="AX62" s="80"/>
      <c r="AY62" s="29" t="s">
        <v>64</v>
      </c>
      <c r="AZ62" s="49">
        <v>500</v>
      </c>
      <c r="BA62" s="49">
        <f>AZ62-$AC62</f>
        <v>0</v>
      </c>
      <c r="BB62" s="49">
        <f>BA62/AK60</f>
        <v>0</v>
      </c>
      <c r="BC62" s="80"/>
      <c r="BD62" s="29" t="s">
        <v>64</v>
      </c>
      <c r="BE62" s="49">
        <v>500.99974983335414</v>
      </c>
      <c r="BF62" s="49">
        <f>BE62-$AC62</f>
        <v>0.99974983335414436</v>
      </c>
      <c r="BG62" s="49">
        <f>BF62/AP60</f>
        <v>999.74983335414436</v>
      </c>
    </row>
    <row r="63" spans="1:59">
      <c r="A63" s="313"/>
      <c r="B63" s="41" t="s">
        <v>102</v>
      </c>
      <c r="C63" s="43">
        <v>0</v>
      </c>
      <c r="E63" s="46" t="s">
        <v>113</v>
      </c>
      <c r="F63" s="49">
        <v>0</v>
      </c>
      <c r="G63" s="132">
        <f>'CS_2 vertical axis'!G7</f>
        <v>0</v>
      </c>
      <c r="H63" s="132">
        <f>'CS_2 vertical axis'!H7</f>
        <v>0</v>
      </c>
      <c r="I63" s="132">
        <f>'CS_2 vertical axis'!I7</f>
        <v>1.5096618357487922E-6</v>
      </c>
      <c r="J63" s="132">
        <f>'CS_2 vertical axis'!J7</f>
        <v>0</v>
      </c>
      <c r="K63" s="132">
        <f>'CS_2 vertical axis'!K7</f>
        <v>0</v>
      </c>
      <c r="L63" s="132">
        <f>'CS_2 vertical axis'!L7</f>
        <v>0</v>
      </c>
      <c r="M63" s="29">
        <f t="shared" si="12"/>
        <v>0</v>
      </c>
      <c r="N63" s="46" t="s">
        <v>112</v>
      </c>
      <c r="O63" s="31">
        <f t="shared" ref="O63:O64" si="13">AW62</f>
        <v>-0.24999997918939698</v>
      </c>
      <c r="P63" s="31">
        <f t="shared" ref="P63:P64" si="14">BB62</f>
        <v>0</v>
      </c>
      <c r="Q63" s="31">
        <f t="shared" ref="Q63:Q64" si="15">BG62</f>
        <v>999.74983335414436</v>
      </c>
      <c r="AB63" t="s">
        <v>72</v>
      </c>
      <c r="AC63" s="29">
        <f>C48</f>
        <v>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0.49999991666667082</v>
      </c>
      <c r="AV63" s="49">
        <f>AU63-$AC63</f>
        <v>0.49999991666667082</v>
      </c>
      <c r="AW63" s="49">
        <f>AV63/AF60</f>
        <v>499.9999166666708</v>
      </c>
      <c r="AX63" s="80"/>
      <c r="AY63" s="29" t="s">
        <v>65</v>
      </c>
      <c r="AZ63" s="49">
        <v>-0.99999983333334164</v>
      </c>
      <c r="BA63" s="49">
        <f>AZ63-$AC63</f>
        <v>-0.99999983333334164</v>
      </c>
      <c r="BB63" s="49">
        <f>BA63/AK60</f>
        <v>-999.9998333333416</v>
      </c>
      <c r="BC63" s="80"/>
      <c r="BD63" s="29" t="s">
        <v>65</v>
      </c>
      <c r="BE63" s="49">
        <v>0</v>
      </c>
      <c r="BF63" s="49">
        <f>BE63-$AC63</f>
        <v>0</v>
      </c>
      <c r="BG63" s="49">
        <f>BF63/AP60</f>
        <v>0</v>
      </c>
    </row>
    <row r="64" spans="1:59" ht="15" customHeight="1">
      <c r="A64" s="313"/>
      <c r="B64" s="41" t="s">
        <v>108</v>
      </c>
      <c r="C64" s="43">
        <v>1</v>
      </c>
      <c r="E64" s="4" t="s">
        <v>85</v>
      </c>
      <c r="F64" s="49">
        <v>3.111508499147696E-5</v>
      </c>
      <c r="G64" s="132">
        <f>'CS_2 vertical axis'!G8</f>
        <v>0</v>
      </c>
      <c r="H64" s="132">
        <f>'CS_2 vertical axis'!H8</f>
        <v>-3.1115084991476958E-7</v>
      </c>
      <c r="I64" s="132">
        <f>'CS_2 vertical axis'!I8</f>
        <v>0</v>
      </c>
      <c r="J64" s="132">
        <f>'CS_2 vertical axis'!J8</f>
        <v>7.4955053039499107E-9</v>
      </c>
      <c r="K64" s="132">
        <f>'CS_2 vertical axis'!K8</f>
        <v>0</v>
      </c>
      <c r="L64" s="132">
        <f>'CS_2 vertical axis'!L8</f>
        <v>0</v>
      </c>
      <c r="M64" s="29">
        <f>C65</f>
        <v>0</v>
      </c>
      <c r="N64" s="46" t="s">
        <v>113</v>
      </c>
      <c r="O64" s="31">
        <f t="shared" si="13"/>
        <v>499.9999166666708</v>
      </c>
      <c r="P64" s="31">
        <f t="shared" si="14"/>
        <v>-999.9998333333416</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c r="A65" s="313"/>
      <c r="B65" s="41" t="s">
        <v>103</v>
      </c>
      <c r="C65" s="43">
        <f t="array" ref="C65:C68">MMULT(O33:R36,E41:E44)</f>
        <v>0</v>
      </c>
      <c r="E65" s="4" t="s">
        <v>86</v>
      </c>
      <c r="F65" s="49">
        <v>0</v>
      </c>
      <c r="G65" s="132">
        <f>'CS_2 vertical axis'!G9</f>
        <v>3.1115084991476958E-7</v>
      </c>
      <c r="H65" s="132">
        <f>'CS_2 vertical axis'!H9</f>
        <v>0</v>
      </c>
      <c r="I65" s="132">
        <f>'CS_2 vertical axis'!I9</f>
        <v>0</v>
      </c>
      <c r="J65" s="132">
        <f>'CS_2 vertical axis'!J9</f>
        <v>0</v>
      </c>
      <c r="K65" s="132">
        <f>'CS_2 vertical axis'!K9</f>
        <v>2.3854898493465668E-9</v>
      </c>
      <c r="L65" s="132">
        <f>'CS_2 vertical axis'!L9</f>
        <v>0</v>
      </c>
      <c r="M65" s="29">
        <f>C66</f>
        <v>0</v>
      </c>
      <c r="O65" s="3" t="s">
        <v>82</v>
      </c>
      <c r="T65" s="3" t="s">
        <v>83</v>
      </c>
      <c r="AE65" t="s">
        <v>95</v>
      </c>
      <c r="AJ65" t="s">
        <v>94</v>
      </c>
      <c r="AO65" t="s">
        <v>96</v>
      </c>
    </row>
    <row r="66" spans="1:44" ht="15" customHeight="1">
      <c r="A66" s="313"/>
      <c r="B66" s="41" t="s">
        <v>104</v>
      </c>
      <c r="C66" s="43">
        <v>0</v>
      </c>
      <c r="E66" s="4" t="s">
        <v>87</v>
      </c>
      <c r="F66" s="49">
        <v>-4.3360720979913133E-4</v>
      </c>
      <c r="G66" s="132">
        <f>'CS_2 vertical axis'!G10</f>
        <v>0</v>
      </c>
      <c r="H66" s="132">
        <f>'CS_2 vertical axis'!H10</f>
        <v>0</v>
      </c>
      <c r="I66" s="132">
        <f>'CS_2 vertical axis'!I10</f>
        <v>0</v>
      </c>
      <c r="J66" s="132">
        <f>'CS_2 vertical axis'!J10</f>
        <v>0</v>
      </c>
      <c r="K66" s="132">
        <f>'CS_2 vertical axis'!K10</f>
        <v>0</v>
      </c>
      <c r="L66" s="132">
        <f>'CS_2 vertical axis'!L10</f>
        <v>4.3360720979913132E-9</v>
      </c>
      <c r="M66" s="29">
        <f>C67</f>
        <v>-100000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1000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c r="A67" s="313"/>
      <c r="B67" s="41" t="s">
        <v>105</v>
      </c>
      <c r="C67" s="43">
        <v>-100000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500</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c r="A68" s="313"/>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c r="A69" s="313"/>
      <c r="B69" s="77" t="s">
        <v>183</v>
      </c>
      <c r="C69"/>
      <c r="D69" s="89" t="s">
        <v>246</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c r="A70" s="313"/>
      <c r="B70" s="41" t="s">
        <v>100</v>
      </c>
      <c r="C70" s="42">
        <v>0</v>
      </c>
      <c r="D70" s="41" t="s">
        <v>100</v>
      </c>
      <c r="E70" s="43">
        <f>C61+C70</f>
        <v>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c r="A71" s="313"/>
      <c r="B71" s="41" t="s">
        <v>101</v>
      </c>
      <c r="C71" s="42">
        <v>0</v>
      </c>
      <c r="D71" s="41" t="s">
        <v>101</v>
      </c>
      <c r="E71" s="43">
        <f>C62+C71</f>
        <v>-100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c r="A72" s="313"/>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c r="A73" s="313"/>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c r="A74" s="313"/>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c r="A75" s="313"/>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c r="A76" s="313"/>
      <c r="B76" s="41" t="s">
        <v>105</v>
      </c>
      <c r="C76" s="42">
        <v>0</v>
      </c>
      <c r="D76" s="41" t="s">
        <v>105</v>
      </c>
      <c r="E76" s="43">
        <f>C67+C76+C62*C20-C61*C21</f>
        <v>-100000</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 thickBot="1">
      <c r="A77" s="314"/>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c r="A78" s="316" t="s">
        <v>325</v>
      </c>
      <c r="B78" s="68" t="s">
        <v>250</v>
      </c>
      <c r="E78" s="1" t="s">
        <v>142</v>
      </c>
    </row>
    <row r="79" spans="1:44" ht="15" customHeight="1">
      <c r="A79" s="316"/>
      <c r="B79" s="12" t="s">
        <v>73</v>
      </c>
      <c r="C79" s="56">
        <f>C57</f>
        <v>1000</v>
      </c>
      <c r="E79" s="301" t="s">
        <v>138</v>
      </c>
      <c r="F79" s="301"/>
      <c r="G79" s="301" t="s">
        <v>139</v>
      </c>
      <c r="H79" s="301"/>
      <c r="N79" s="34" t="s">
        <v>98</v>
      </c>
      <c r="O79" s="1"/>
      <c r="P79" s="67"/>
      <c r="Q79" s="1"/>
      <c r="R79" s="1"/>
      <c r="S79" s="34" t="s">
        <v>136</v>
      </c>
      <c r="Y79" s="94" t="s">
        <v>297</v>
      </c>
    </row>
    <row r="80" spans="1:44" ht="15" customHeight="1">
      <c r="A80" s="316"/>
      <c r="B80" s="12" t="s">
        <v>74</v>
      </c>
      <c r="C80" s="56">
        <f t="shared" ref="C80" si="16">C58</f>
        <v>500</v>
      </c>
      <c r="E80" s="46" t="s">
        <v>84</v>
      </c>
      <c r="F80" s="48">
        <f>'CS_3 Z-Axis'!B45</f>
        <v>5.0000000000000001E-3</v>
      </c>
      <c r="G80" s="46" t="s">
        <v>84</v>
      </c>
      <c r="H80" s="48">
        <f>'CS_3 Z-Axis'!B52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c r="A81" s="316"/>
      <c r="B81" s="12" t="s">
        <v>75</v>
      </c>
      <c r="C81" s="56">
        <f>C59</f>
        <v>0</v>
      </c>
      <c r="E81" s="46" t="s">
        <v>112</v>
      </c>
      <c r="F81" s="48">
        <f>'CS_3 Z-Axis'!B46</f>
        <v>5.0000000000000001E-3</v>
      </c>
      <c r="G81" s="46" t="s">
        <v>112</v>
      </c>
      <c r="H81" s="48">
        <f>'CS_3 Z-Axis'!B53</f>
        <v>0</v>
      </c>
      <c r="N81" s="46" t="s">
        <v>84</v>
      </c>
      <c r="O81" s="50">
        <f>ABS(F80)</f>
        <v>5.0000000000000001E-3</v>
      </c>
      <c r="P81" s="50">
        <f>ABS(F83*O95)</f>
        <v>0</v>
      </c>
      <c r="Q81" s="50">
        <f>ABS(F84*P95)</f>
        <v>2.4999997793939712E-5</v>
      </c>
      <c r="R81" s="50">
        <f>ABS(F85*Q95)</f>
        <v>2.5024995831250868E-2</v>
      </c>
      <c r="S81" s="46" t="s">
        <v>84</v>
      </c>
      <c r="T81" s="49">
        <f t="array" ref="T81:W84">ABS(MMULT(T99:W102,O81:R84))</f>
        <v>5.0000000000000001E-3</v>
      </c>
      <c r="U81" s="49">
        <v>0</v>
      </c>
      <c r="V81" s="49">
        <v>2.4999997793939712E-5</v>
      </c>
      <c r="W81" s="49">
        <v>2.5024995831250868E-2</v>
      </c>
      <c r="X81" s="70" t="s">
        <v>84</v>
      </c>
      <c r="Y81" s="49">
        <f>F87+F94</f>
        <v>0</v>
      </c>
      <c r="Z81" s="29">
        <f>F90*O95</f>
        <v>0</v>
      </c>
      <c r="AA81" s="29">
        <f>F91*P95</f>
        <v>0</v>
      </c>
      <c r="AB81" s="29">
        <f>F92*Q95</f>
        <v>1.9239051499548195E-3</v>
      </c>
    </row>
    <row r="82" spans="1:62" ht="15" customHeight="1">
      <c r="A82" s="60">
        <v>3</v>
      </c>
      <c r="B82" s="1" t="s">
        <v>76</v>
      </c>
      <c r="E82" s="46" t="s">
        <v>113</v>
      </c>
      <c r="F82" s="48">
        <f>'CS_3 Z-Axis'!B47</f>
        <v>5.0000000000000001E-3</v>
      </c>
      <c r="G82" s="46" t="s">
        <v>113</v>
      </c>
      <c r="H82" s="48">
        <f>'CS_3 Z-Axis'!B54</f>
        <v>0</v>
      </c>
      <c r="N82" s="46" t="s">
        <v>112</v>
      </c>
      <c r="O82" s="50">
        <f t="shared" ref="O82:O83" si="17">ABS(F81)</f>
        <v>5.0000000000000001E-3</v>
      </c>
      <c r="P82" s="50">
        <f>ABS(F83*O96)</f>
        <v>1.2499998959469851E-5</v>
      </c>
      <c r="Q82" s="50">
        <f>ABS(F84*P96)</f>
        <v>0</v>
      </c>
      <c r="R82" s="50">
        <f>ABS(F85*Q96)</f>
        <v>4.9987491667707225E-2</v>
      </c>
      <c r="S82" s="46" t="s">
        <v>112</v>
      </c>
      <c r="T82" s="49">
        <v>5.0000000000000001E-3</v>
      </c>
      <c r="U82" s="49">
        <v>1.2499998959469851E-5</v>
      </c>
      <c r="V82" s="49">
        <v>0</v>
      </c>
      <c r="W82" s="49">
        <v>4.9987491667707225E-2</v>
      </c>
      <c r="X82" s="70" t="s">
        <v>112</v>
      </c>
      <c r="Y82" s="49">
        <f t="shared" ref="Y82:Y83" si="18">F88+F95</f>
        <v>-3.8639876352395674E-5</v>
      </c>
      <c r="Z82" s="29">
        <f>F90*O96</f>
        <v>0</v>
      </c>
      <c r="AA82" s="29">
        <f>F91*P96</f>
        <v>0</v>
      </c>
      <c r="AB82" s="29">
        <f>F92*Q96</f>
        <v>-3.8430053415924375E-3</v>
      </c>
    </row>
    <row r="83" spans="1:62" ht="15" customHeight="1">
      <c r="A83" s="43">
        <f>IF(A82&gt;Naxes,0,1)</f>
        <v>0</v>
      </c>
      <c r="B83" s="2" t="s">
        <v>177</v>
      </c>
      <c r="C83" s="37">
        <v>0</v>
      </c>
      <c r="E83" s="4" t="s">
        <v>85</v>
      </c>
      <c r="F83" s="48">
        <f>'CS_3 Z-Axis'!B48</f>
        <v>5.0000000000000009E-5</v>
      </c>
      <c r="G83" s="4" t="s">
        <v>85</v>
      </c>
      <c r="H83" s="48">
        <f>'CS_3 Z-Axis'!B55</f>
        <v>0</v>
      </c>
      <c r="N83" s="46" t="s">
        <v>113</v>
      </c>
      <c r="O83" s="50">
        <f t="shared" si="17"/>
        <v>5.0000000000000001E-3</v>
      </c>
      <c r="P83" s="50">
        <f>ABS(F83*O97)</f>
        <v>2.4999995833333545E-2</v>
      </c>
      <c r="Q83" s="50">
        <f>ABS(F84*P97)</f>
        <v>4.9999991416667132E-2</v>
      </c>
      <c r="R83" s="50">
        <f>ABS(F85*Q97)</f>
        <v>0</v>
      </c>
      <c r="S83" s="46" t="s">
        <v>113</v>
      </c>
      <c r="T83" s="49">
        <v>5.0000000000000001E-3</v>
      </c>
      <c r="U83" s="49">
        <v>2.4999995833333545E-2</v>
      </c>
      <c r="V83" s="49">
        <v>4.9999991416667132E-2</v>
      </c>
      <c r="W83" s="49">
        <v>0</v>
      </c>
      <c r="X83" s="70" t="s">
        <v>113</v>
      </c>
      <c r="Y83" s="49">
        <f t="shared" si="18"/>
        <v>0</v>
      </c>
      <c r="Z83" s="29">
        <f>F90*O97</f>
        <v>0</v>
      </c>
      <c r="AA83" s="29">
        <f>F91*P97</f>
        <v>0</v>
      </c>
      <c r="AB83" s="29">
        <f>F92*Q97</f>
        <v>0</v>
      </c>
    </row>
    <row r="84" spans="1:62" ht="15" customHeight="1">
      <c r="A84" s="318" t="s">
        <v>127</v>
      </c>
      <c r="B84" s="2" t="s">
        <v>179</v>
      </c>
      <c r="C84" s="37">
        <v>0</v>
      </c>
      <c r="E84" s="4" t="s">
        <v>86</v>
      </c>
      <c r="F84" s="48">
        <f>'CS_3 Z-Axis'!B49</f>
        <v>4.999999975000001E-5</v>
      </c>
      <c r="G84" s="4" t="s">
        <v>86</v>
      </c>
      <c r="H84" s="48">
        <f>'CS_3 Z-Axis'!B56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c r="A85" s="318"/>
      <c r="B85" s="2" t="s">
        <v>178</v>
      </c>
      <c r="C85" s="37">
        <v>0</v>
      </c>
      <c r="E85" s="4" t="s">
        <v>87</v>
      </c>
      <c r="F85" s="48">
        <f>'CS_3 Z-Axis'!B50</f>
        <v>5.0000000000000009E-5</v>
      </c>
      <c r="G85" s="4" t="s">
        <v>87</v>
      </c>
      <c r="H85" s="48">
        <f>'CS_3 Z-Axis'!B57</f>
        <v>0</v>
      </c>
      <c r="X85" s="6"/>
    </row>
    <row r="86" spans="1:62" ht="29" customHeight="1">
      <c r="A86" s="318"/>
      <c r="B86" s="2" t="s">
        <v>245</v>
      </c>
      <c r="C86" s="37">
        <v>75</v>
      </c>
      <c r="E86" s="299" t="s">
        <v>303</v>
      </c>
      <c r="F86" s="299"/>
      <c r="G86" s="301" t="s">
        <v>251</v>
      </c>
      <c r="H86" s="301"/>
      <c r="I86" s="299" t="s">
        <v>306</v>
      </c>
      <c r="J86" s="299"/>
      <c r="K86" s="299" t="s">
        <v>304</v>
      </c>
      <c r="L86" s="299"/>
      <c r="N86" s="34" t="s">
        <v>99</v>
      </c>
      <c r="O86" s="1"/>
      <c r="P86" s="67"/>
      <c r="Q86" s="1"/>
      <c r="R86" s="1"/>
      <c r="S86" s="34" t="s">
        <v>137</v>
      </c>
      <c r="X86" s="6"/>
      <c r="Y86" s="94" t="s">
        <v>296</v>
      </c>
    </row>
    <row r="87" spans="1:62" ht="15" customHeight="1">
      <c r="A87" s="318"/>
      <c r="B87" s="2" t="s">
        <v>77</v>
      </c>
      <c r="C87" s="38">
        <v>0</v>
      </c>
      <c r="E87" s="46" t="s">
        <v>84</v>
      </c>
      <c r="F87" s="49">
        <f>E103/IF(H87=0,1000000000000,H87)</f>
        <v>0</v>
      </c>
      <c r="G87" s="4" t="s">
        <v>117</v>
      </c>
      <c r="H87" s="29">
        <f>'CS_3 Z-Axis'!B25</f>
        <v>2588000</v>
      </c>
      <c r="I87" s="4" t="s">
        <v>85</v>
      </c>
      <c r="J87" s="49">
        <f>A116*F130</f>
        <v>0</v>
      </c>
      <c r="K87" s="4" t="s">
        <v>85</v>
      </c>
      <c r="L87" s="139">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c r="A88" s="312" t="s">
        <v>368</v>
      </c>
      <c r="B88" s="2" t="s">
        <v>107</v>
      </c>
      <c r="C88" s="37">
        <v>0</v>
      </c>
      <c r="E88" s="46" t="s">
        <v>112</v>
      </c>
      <c r="F88" s="49">
        <f t="shared" ref="F88:F89" si="19">E104/IF(H88=0,1000000000000,H88)</f>
        <v>-3.8639876352395674E-5</v>
      </c>
      <c r="G88" s="4" t="s">
        <v>118</v>
      </c>
      <c r="H88" s="29">
        <f>'CS_3 Z-Axis'!B26</f>
        <v>2588000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0</v>
      </c>
      <c r="Z88" s="29">
        <f t="array" ref="Z88:Z91">MMULT(T99:W102,Z81:Z84)</f>
        <v>0</v>
      </c>
      <c r="AA88" s="29">
        <f t="array" ref="AA88:AA91">MMULT(T99:W102,AA81:AA84)</f>
        <v>0</v>
      </c>
      <c r="AB88" s="29">
        <f t="array" ref="AB88:AB91">MMULT(T99:W102,AB81:AB84)</f>
        <v>1.9239051499548195E-3</v>
      </c>
    </row>
    <row r="89" spans="1:62" ht="15" customHeight="1">
      <c r="A89" s="313"/>
      <c r="B89" s="34" t="s">
        <v>78</v>
      </c>
      <c r="E89" s="46" t="s">
        <v>113</v>
      </c>
      <c r="F89" s="49">
        <f t="shared" si="19"/>
        <v>0</v>
      </c>
      <c r="G89" s="4" t="s">
        <v>119</v>
      </c>
      <c r="H89" s="29">
        <f>'CS_3 Z-Axis'!B27</f>
        <v>75398.223686155034</v>
      </c>
      <c r="I89" s="4" t="s">
        <v>87</v>
      </c>
      <c r="J89" s="49">
        <f>A116*F132</f>
        <v>0</v>
      </c>
      <c r="K89" s="4" t="s">
        <v>87</v>
      </c>
      <c r="L89" s="139">
        <v>0</v>
      </c>
      <c r="N89" s="46" t="s">
        <v>112</v>
      </c>
      <c r="O89" s="50">
        <f>H81</f>
        <v>0</v>
      </c>
      <c r="P89" s="50">
        <f>H83*O96</f>
        <v>0</v>
      </c>
      <c r="Q89" s="50">
        <f>H84*P96</f>
        <v>0</v>
      </c>
      <c r="R89" s="50">
        <f>H85*Q96</f>
        <v>0</v>
      </c>
      <c r="S89" s="46" t="s">
        <v>112</v>
      </c>
      <c r="T89" s="50">
        <v>0</v>
      </c>
      <c r="U89" s="50">
        <v>0</v>
      </c>
      <c r="V89" s="50">
        <v>0</v>
      </c>
      <c r="W89" s="50">
        <v>0</v>
      </c>
      <c r="X89" s="70" t="s">
        <v>112</v>
      </c>
      <c r="Y89" s="29">
        <v>-3.8639876352395674E-5</v>
      </c>
      <c r="Z89" s="29">
        <v>0</v>
      </c>
      <c r="AA89" s="29">
        <v>0</v>
      </c>
      <c r="AB89" s="29">
        <v>-3.8430053415924375E-3</v>
      </c>
    </row>
    <row r="90" spans="1:62" ht="15" customHeight="1">
      <c r="A90" s="313"/>
      <c r="B90" s="12" t="s">
        <v>79</v>
      </c>
      <c r="C90" s="31">
        <f>AC99+C86</f>
        <v>1075</v>
      </c>
      <c r="E90" s="4" t="s">
        <v>85</v>
      </c>
      <c r="F90" s="49">
        <f>E107/IF(H90=0,1000000000000,H90)+L87</f>
        <v>0</v>
      </c>
      <c r="G90" s="46" t="s">
        <v>8</v>
      </c>
      <c r="H90" s="29">
        <f>'CS_3 Z-Axis'!B29</f>
        <v>26284375000</v>
      </c>
      <c r="I90" s="4" t="s">
        <v>305</v>
      </c>
      <c r="J90" s="29">
        <v>1</v>
      </c>
      <c r="K90" s="4" t="s">
        <v>305</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0</v>
      </c>
      <c r="AA90" s="29">
        <v>0</v>
      </c>
      <c r="AB90" s="29">
        <v>0</v>
      </c>
    </row>
    <row r="91" spans="1:62" ht="15" customHeight="1">
      <c r="A91" s="313"/>
      <c r="B91" s="12" t="s">
        <v>80</v>
      </c>
      <c r="C91" s="31">
        <f>AC100+C87</f>
        <v>500</v>
      </c>
      <c r="E91" s="4" t="s">
        <v>86</v>
      </c>
      <c r="F91" s="49">
        <f t="shared" ref="F91:F92" si="20">E108/IF(H91=0,1000000000000,H91)+L88</f>
        <v>0</v>
      </c>
      <c r="G91" s="46" t="s">
        <v>120</v>
      </c>
      <c r="H91" s="29">
        <f>'CS_3 Z-Axis'!B30</f>
        <v>26014791666.666668</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c r="A92" s="313"/>
      <c r="B92" s="12" t="s">
        <v>81</v>
      </c>
      <c r="C92" s="31">
        <f>AC101+C88</f>
        <v>0</v>
      </c>
      <c r="E92" s="4" t="s">
        <v>87</v>
      </c>
      <c r="F92" s="49">
        <f t="shared" si="20"/>
        <v>-3.843966973917082E-6</v>
      </c>
      <c r="G92" s="46" t="s">
        <v>116</v>
      </c>
      <c r="H92" s="29">
        <f>'CS_3 Z-Axis'!B31</f>
        <v>26014791666.666668</v>
      </c>
      <c r="AB92" s="5"/>
      <c r="AU92" s="5" t="s">
        <v>67</v>
      </c>
      <c r="AZ92" s="5" t="s">
        <v>92</v>
      </c>
      <c r="BE92" s="5" t="s">
        <v>97</v>
      </c>
      <c r="BJ92" s="5" t="s">
        <v>97</v>
      </c>
    </row>
    <row r="93" spans="1:62" ht="30">
      <c r="A93" s="313"/>
      <c r="B93" s="69" t="s">
        <v>106</v>
      </c>
      <c r="E93" s="301" t="s">
        <v>294</v>
      </c>
      <c r="F93" s="315"/>
      <c r="G93" s="309" t="s">
        <v>293</v>
      </c>
      <c r="H93" s="310"/>
      <c r="I93" s="310"/>
      <c r="J93" s="310"/>
      <c r="K93" s="310"/>
      <c r="L93" s="311"/>
      <c r="M93" s="93" t="s">
        <v>295</v>
      </c>
      <c r="N93" s="84" t="s">
        <v>248</v>
      </c>
      <c r="AE93" s="45" t="s">
        <v>227</v>
      </c>
      <c r="AF93" s="91">
        <v>1E-3</v>
      </c>
      <c r="AG93" s="45"/>
      <c r="AH93" s="45"/>
      <c r="AI93" s="45"/>
      <c r="AJ93" s="45" t="s">
        <v>93</v>
      </c>
      <c r="AK93" s="92">
        <v>1E-3</v>
      </c>
      <c r="AL93" s="7"/>
      <c r="AM93" s="7"/>
      <c r="AN93" s="45"/>
      <c r="AO93" s="45" t="s">
        <v>226</v>
      </c>
      <c r="AP93" s="91">
        <v>1E-3</v>
      </c>
      <c r="AU93" s="7" t="s">
        <v>0</v>
      </c>
      <c r="AV93" s="7" t="s">
        <v>1</v>
      </c>
      <c r="AW93" s="7" t="s">
        <v>2</v>
      </c>
      <c r="AZ93" s="7" t="s">
        <v>0</v>
      </c>
      <c r="BA93" s="7" t="s">
        <v>1</v>
      </c>
      <c r="BB93" s="7" t="s">
        <v>2</v>
      </c>
      <c r="BE93" s="7" t="s">
        <v>0</v>
      </c>
      <c r="BF93" s="7" t="s">
        <v>1</v>
      </c>
      <c r="BG93" s="7" t="s">
        <v>2</v>
      </c>
    </row>
    <row r="94" spans="1:62" ht="15" customHeight="1">
      <c r="A94" s="313"/>
      <c r="B94" s="41" t="s">
        <v>100</v>
      </c>
      <c r="C94" s="43">
        <f t="array" ref="C94:C97">MMULT(O66:R69,E70:E73)</f>
        <v>0</v>
      </c>
      <c r="E94" s="46" t="s">
        <v>84</v>
      </c>
      <c r="F94" s="49">
        <f t="array" ref="F94:F99">MMULT(G94:L99,M94:M99)</f>
        <v>0</v>
      </c>
      <c r="G94" s="132">
        <f>'CS_3 Z-Axis'!G5</f>
        <v>0</v>
      </c>
      <c r="H94" s="132">
        <f>'CS_3 Z-Axis'!H5</f>
        <v>0</v>
      </c>
      <c r="I94" s="132">
        <f>'CS_3 Z-Axis'!I5</f>
        <v>0</v>
      </c>
      <c r="J94" s="132">
        <f>'CS_3 Z-Axis'!J5</f>
        <v>0</v>
      </c>
      <c r="K94" s="132">
        <f>'CS_3 Z-Axis'!K5</f>
        <v>0</v>
      </c>
      <c r="L94" s="132">
        <f>'CS_3 Z-Axis'!L5</f>
        <v>0</v>
      </c>
      <c r="M94" s="29">
        <f>C94</f>
        <v>0</v>
      </c>
      <c r="O94" s="7" t="s">
        <v>4</v>
      </c>
      <c r="P94" s="26" t="s">
        <v>5</v>
      </c>
      <c r="Q94" s="26" t="s">
        <v>6</v>
      </c>
      <c r="R94" s="26"/>
      <c r="S94" s="26"/>
      <c r="T94" s="26"/>
      <c r="U94" s="26"/>
      <c r="V94" s="26"/>
      <c r="W94" s="26"/>
      <c r="X94" s="26"/>
      <c r="Y94" s="26"/>
      <c r="Z94" s="26"/>
      <c r="AA94" s="26"/>
      <c r="AB94" t="s">
        <v>66</v>
      </c>
      <c r="AC94" s="29">
        <f>C79</f>
        <v>1000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1000</v>
      </c>
      <c r="AV94" s="49">
        <f>AU94-$AC94</f>
        <v>0</v>
      </c>
      <c r="AW94" s="49">
        <f>AV94/AF93</f>
        <v>0</v>
      </c>
      <c r="AX94" s="80"/>
      <c r="AY94" s="29" t="s">
        <v>63</v>
      </c>
      <c r="AZ94" s="49">
        <f t="array" ref="AZ94:AZ97">MMULT(AJ94:AM97,$AC94:$AC97)</f>
        <v>999.99950000004162</v>
      </c>
      <c r="BA94" s="49">
        <f>AZ94-$AC94</f>
        <v>-4.9999995837879396E-4</v>
      </c>
      <c r="BB94" s="49">
        <f>BA94/AK93</f>
        <v>-0.49999995837879396</v>
      </c>
      <c r="BC94" s="80"/>
      <c r="BD94" s="29" t="s">
        <v>63</v>
      </c>
      <c r="BE94" s="49">
        <f t="array" ref="BE94:BE97">MMULT(AO94:AR97,$AC94:$AC97)</f>
        <v>999.49950008337498</v>
      </c>
      <c r="BF94" s="49">
        <f>BE94-$AC94</f>
        <v>-0.50049991662501725</v>
      </c>
      <c r="BG94" s="49">
        <f>BF94/AP93</f>
        <v>-500.49991662501725</v>
      </c>
    </row>
    <row r="95" spans="1:62">
      <c r="A95" s="313"/>
      <c r="B95" s="41" t="s">
        <v>101</v>
      </c>
      <c r="C95" s="43">
        <v>-100</v>
      </c>
      <c r="E95" s="46" t="s">
        <v>112</v>
      </c>
      <c r="F95" s="49">
        <v>0</v>
      </c>
      <c r="G95" s="132">
        <f>'CS_3 Z-Axis'!G6</f>
        <v>0</v>
      </c>
      <c r="H95" s="132">
        <f>'CS_3 Z-Axis'!H6</f>
        <v>0</v>
      </c>
      <c r="I95" s="132">
        <f>'CS_3 Z-Axis'!I6</f>
        <v>0</v>
      </c>
      <c r="J95" s="132">
        <f>'CS_3 Z-Axis'!J6</f>
        <v>0</v>
      </c>
      <c r="K95" s="132">
        <f>'CS_3 Z-Axis'!K6</f>
        <v>0</v>
      </c>
      <c r="L95" s="132">
        <f>'CS_3 Z-Axis'!L6</f>
        <v>0</v>
      </c>
      <c r="M95" s="29">
        <f t="shared" ref="M95:M96" si="21">C95</f>
        <v>-100</v>
      </c>
      <c r="N95" s="46" t="s">
        <v>84</v>
      </c>
      <c r="O95" s="31">
        <f>AW94</f>
        <v>0</v>
      </c>
      <c r="P95" s="31">
        <f>BB94</f>
        <v>-0.49999995837879396</v>
      </c>
      <c r="Q95" s="31">
        <f>BG94</f>
        <v>-500.49991662501725</v>
      </c>
      <c r="AB95" t="s">
        <v>71</v>
      </c>
      <c r="AC95" s="29">
        <f>C80</f>
        <v>500</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499.99975000002081</v>
      </c>
      <c r="AV95" s="49">
        <f>AU95-$AC95</f>
        <v>-2.4999997918939698E-4</v>
      </c>
      <c r="AW95" s="49">
        <f>AV95/AF93</f>
        <v>-0.24999997918939698</v>
      </c>
      <c r="AX95" s="80"/>
      <c r="AY95" s="29" t="s">
        <v>64</v>
      </c>
      <c r="AZ95" s="49">
        <v>500</v>
      </c>
      <c r="BA95" s="49">
        <f>AZ95-$AC95</f>
        <v>0</v>
      </c>
      <c r="BB95" s="49">
        <f>BA95/AK93</f>
        <v>0</v>
      </c>
      <c r="BC95" s="80"/>
      <c r="BD95" s="29" t="s">
        <v>64</v>
      </c>
      <c r="BE95" s="49">
        <v>500.99974983335414</v>
      </c>
      <c r="BF95" s="49">
        <f>BE95-$AC95</f>
        <v>0.99974983335414436</v>
      </c>
      <c r="BG95" s="49">
        <f>BF95/AP93</f>
        <v>999.74983335414436</v>
      </c>
    </row>
    <row r="96" spans="1:62">
      <c r="A96" s="313"/>
      <c r="B96" s="41" t="s">
        <v>102</v>
      </c>
      <c r="C96" s="43">
        <v>0</v>
      </c>
      <c r="E96" s="46" t="s">
        <v>113</v>
      </c>
      <c r="F96" s="49">
        <v>0</v>
      </c>
      <c r="G96" s="132">
        <f>'CS_3 Z-Axis'!G7</f>
        <v>0</v>
      </c>
      <c r="H96" s="132">
        <f>'CS_3 Z-Axis'!H7</f>
        <v>0</v>
      </c>
      <c r="I96" s="132">
        <f>'CS_3 Z-Axis'!I7</f>
        <v>5.7971130435014511E-6</v>
      </c>
      <c r="J96" s="132">
        <f>'CS_3 Z-Axis'!J7</f>
        <v>0</v>
      </c>
      <c r="K96" s="132">
        <f>'CS_3 Z-Axis'!K7</f>
        <v>0</v>
      </c>
      <c r="L96" s="132">
        <f>'CS_3 Z-Axis'!L7</f>
        <v>0</v>
      </c>
      <c r="M96" s="29">
        <f t="shared" si="21"/>
        <v>0</v>
      </c>
      <c r="N96" s="46" t="s">
        <v>112</v>
      </c>
      <c r="O96" s="31">
        <f t="shared" ref="O96:O97" si="22">AW95</f>
        <v>-0.24999997918939698</v>
      </c>
      <c r="P96" s="31">
        <f t="shared" ref="P96:P97" si="23">BB95</f>
        <v>0</v>
      </c>
      <c r="Q96" s="31">
        <f t="shared" ref="Q96:Q97" si="24">BG95</f>
        <v>999.74983335414436</v>
      </c>
      <c r="AB96" t="s">
        <v>72</v>
      </c>
      <c r="AC96" s="29">
        <f>C81</f>
        <v>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0.49999991666667082</v>
      </c>
      <c r="AV96" s="49">
        <f>AU96-$AC96</f>
        <v>0.49999991666667082</v>
      </c>
      <c r="AW96" s="49">
        <f>AV96/AF93</f>
        <v>499.9999166666708</v>
      </c>
      <c r="AX96" s="80"/>
      <c r="AY96" s="29" t="s">
        <v>65</v>
      </c>
      <c r="AZ96" s="49">
        <v>-0.99999983333334164</v>
      </c>
      <c r="BA96" s="49">
        <f>AZ96-$AC96</f>
        <v>-0.99999983333334164</v>
      </c>
      <c r="BB96" s="49">
        <f>BA96/AK93</f>
        <v>-999.9998333333416</v>
      </c>
      <c r="BC96" s="80"/>
      <c r="BD96" s="29" t="s">
        <v>65</v>
      </c>
      <c r="BE96" s="49">
        <v>0</v>
      </c>
      <c r="BF96" s="49">
        <f>BE96-$AC96</f>
        <v>0</v>
      </c>
      <c r="BG96" s="49">
        <f>BF96/AP93</f>
        <v>0</v>
      </c>
    </row>
    <row r="97" spans="1:59" ht="15" customHeight="1">
      <c r="A97" s="313"/>
      <c r="B97" s="41" t="s">
        <v>108</v>
      </c>
      <c r="C97" s="43">
        <v>1</v>
      </c>
      <c r="E97" s="4" t="s">
        <v>85</v>
      </c>
      <c r="F97" s="49">
        <v>0</v>
      </c>
      <c r="G97" s="132">
        <f>'CS_3 Z-Axis'!G8</f>
        <v>0</v>
      </c>
      <c r="H97" s="132">
        <f>'CS_3 Z-Axis'!H8</f>
        <v>0</v>
      </c>
      <c r="I97" s="132">
        <f>'CS_3 Z-Axis'!I8</f>
        <v>0</v>
      </c>
      <c r="J97" s="132">
        <f>'CS_3 Z-Axis'!J8</f>
        <v>0</v>
      </c>
      <c r="K97" s="132">
        <f>'CS_3 Z-Axis'!K8</f>
        <v>0</v>
      </c>
      <c r="L97" s="132">
        <f>'CS_3 Z-Axis'!L8</f>
        <v>0</v>
      </c>
      <c r="M97" s="29">
        <f>C98</f>
        <v>0</v>
      </c>
      <c r="N97" s="46" t="s">
        <v>113</v>
      </c>
      <c r="O97" s="31">
        <f t="shared" si="22"/>
        <v>499.9999166666708</v>
      </c>
      <c r="P97" s="31">
        <f t="shared" si="23"/>
        <v>-999.9998333333416</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c r="A98" s="313"/>
      <c r="B98" s="41" t="s">
        <v>103</v>
      </c>
      <c r="C98" s="43">
        <f t="array" ref="C98:C101">MMULT(O66:R69,E74:E77)</f>
        <v>0</v>
      </c>
      <c r="E98" s="4" t="s">
        <v>86</v>
      </c>
      <c r="F98" s="49">
        <v>0</v>
      </c>
      <c r="G98" s="132">
        <f>'CS_3 Z-Axis'!G9</f>
        <v>0</v>
      </c>
      <c r="H98" s="132">
        <f>'CS_3 Z-Axis'!H9</f>
        <v>0</v>
      </c>
      <c r="I98" s="132">
        <f>'CS_3 Z-Axis'!I9</f>
        <v>0</v>
      </c>
      <c r="J98" s="132">
        <f>'CS_3 Z-Axis'!J9</f>
        <v>0</v>
      </c>
      <c r="K98" s="132">
        <f>'CS_3 Z-Axis'!K9</f>
        <v>0</v>
      </c>
      <c r="L98" s="132">
        <f>'CS_3 Z-Axis'!L9</f>
        <v>0</v>
      </c>
      <c r="M98" s="29">
        <f>C99</f>
        <v>0</v>
      </c>
      <c r="O98" s="3" t="s">
        <v>82</v>
      </c>
      <c r="T98" s="3" t="s">
        <v>83</v>
      </c>
      <c r="AE98" t="s">
        <v>95</v>
      </c>
      <c r="AJ98" t="s">
        <v>94</v>
      </c>
      <c r="AO98" t="s">
        <v>96</v>
      </c>
    </row>
    <row r="99" spans="1:59" ht="15" customHeight="1">
      <c r="A99" s="313"/>
      <c r="B99" s="41" t="s">
        <v>104</v>
      </c>
      <c r="C99" s="43">
        <v>0</v>
      </c>
      <c r="E99" s="4" t="s">
        <v>87</v>
      </c>
      <c r="F99" s="49">
        <v>0</v>
      </c>
      <c r="G99" s="132">
        <f>'CS_3 Z-Axis'!G10</f>
        <v>0</v>
      </c>
      <c r="H99" s="132">
        <f>'CS_3 Z-Axis'!H10</f>
        <v>0</v>
      </c>
      <c r="I99" s="132">
        <f>'CS_3 Z-Axis'!I10</f>
        <v>0</v>
      </c>
      <c r="J99" s="132">
        <f>'CS_3 Z-Axis'!J10</f>
        <v>0</v>
      </c>
      <c r="K99" s="132">
        <f>'CS_3 Z-Axis'!K10</f>
        <v>0</v>
      </c>
      <c r="L99" s="132">
        <f>'CS_3 Z-Axis'!L10</f>
        <v>0</v>
      </c>
      <c r="M99" s="29">
        <f>C100</f>
        <v>-100000</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1000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c r="A100" s="313"/>
      <c r="B100" s="41" t="s">
        <v>105</v>
      </c>
      <c r="C100" s="43">
        <v>-100000</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500</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c r="A101" s="313"/>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c r="A102" s="313"/>
      <c r="B102" s="77" t="s">
        <v>183</v>
      </c>
      <c r="C102"/>
      <c r="D102" s="89" t="s">
        <v>246</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c r="A103" s="313"/>
      <c r="B103" s="41" t="s">
        <v>100</v>
      </c>
      <c r="C103" s="42">
        <v>0</v>
      </c>
      <c r="D103" s="41" t="s">
        <v>100</v>
      </c>
      <c r="E103" s="43">
        <f>C94+C103</f>
        <v>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c r="A104" s="313"/>
      <c r="B104" s="41" t="s">
        <v>101</v>
      </c>
      <c r="C104" s="42">
        <v>0</v>
      </c>
      <c r="D104" s="41" t="s">
        <v>101</v>
      </c>
      <c r="E104" s="43">
        <f>C95+C104</f>
        <v>-100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c r="A105" s="313"/>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c r="A106" s="313"/>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c r="A107" s="313"/>
      <c r="B107" s="41" t="s">
        <v>103</v>
      </c>
      <c r="C107" s="42">
        <v>0</v>
      </c>
      <c r="D107" s="41" t="s">
        <v>103</v>
      </c>
      <c r="E107" s="43">
        <f>C98+C107+C96*C54-C95*C55</f>
        <v>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c r="A108" s="313"/>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c r="A109" s="313"/>
      <c r="B109" s="130" t="s">
        <v>105</v>
      </c>
      <c r="C109" s="133">
        <v>0</v>
      </c>
      <c r="D109" s="41" t="s">
        <v>105</v>
      </c>
      <c r="E109" s="43">
        <f>C100+C109+C95*C53-C94*C54</f>
        <v>-100000</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 thickBot="1">
      <c r="A110" s="314"/>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c r="A111" s="316" t="s">
        <v>326</v>
      </c>
      <c r="B111" s="68" t="s">
        <v>250</v>
      </c>
      <c r="E111" s="1" t="s">
        <v>143</v>
      </c>
    </row>
    <row r="112" spans="1:59" ht="15" customHeight="1">
      <c r="A112" s="316"/>
      <c r="B112" s="12" t="s">
        <v>73</v>
      </c>
      <c r="C112" s="56">
        <f>C90</f>
        <v>1075</v>
      </c>
      <c r="E112" s="301" t="s">
        <v>138</v>
      </c>
      <c r="F112" s="301"/>
      <c r="G112" s="301" t="s">
        <v>139</v>
      </c>
      <c r="H112" s="301"/>
      <c r="N112" s="34" t="s">
        <v>98</v>
      </c>
      <c r="O112" s="1"/>
      <c r="P112" s="67"/>
      <c r="Q112" s="1"/>
      <c r="R112" s="1"/>
      <c r="S112" s="34" t="s">
        <v>136</v>
      </c>
      <c r="Y112" s="94" t="s">
        <v>297</v>
      </c>
    </row>
    <row r="113" spans="1:62" ht="15" customHeight="1">
      <c r="A113" s="316"/>
      <c r="B113" s="12" t="s">
        <v>74</v>
      </c>
      <c r="C113" s="56">
        <f>C91</f>
        <v>500</v>
      </c>
      <c r="E113" s="46" t="s">
        <v>84</v>
      </c>
      <c r="F113" s="48">
        <f>'CS_4 Y-Axis'!B45</f>
        <v>5.0000000000000001E-3</v>
      </c>
      <c r="G113" s="46" t="s">
        <v>84</v>
      </c>
      <c r="H113" s="48">
        <f>'CS_4 Y-Axis'!B52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c r="A114" s="316"/>
      <c r="B114" s="12" t="s">
        <v>75</v>
      </c>
      <c r="C114" s="56">
        <f>C92</f>
        <v>0</v>
      </c>
      <c r="E114" s="46" t="s">
        <v>112</v>
      </c>
      <c r="F114" s="48">
        <f>'CS_4 Y-Axis'!B46</f>
        <v>5.0000000000000001E-3</v>
      </c>
      <c r="G114" s="46" t="s">
        <v>112</v>
      </c>
      <c r="H114" s="48">
        <f>'CS_4 Y-Axis'!B53</f>
        <v>0</v>
      </c>
      <c r="N114" s="46" t="s">
        <v>84</v>
      </c>
      <c r="O114" s="50">
        <f>ABS(F113)</f>
        <v>5.0000000000000001E-3</v>
      </c>
      <c r="P114" s="50">
        <f>ABS(F116*O128)</f>
        <v>0</v>
      </c>
      <c r="Q114" s="50">
        <f>ABS(F117*P128)</f>
        <v>5.3749995527141473E-5</v>
      </c>
      <c r="R114" s="50">
        <f>ABS(F118*Q128)</f>
        <v>5.0053741662191023E-2</v>
      </c>
      <c r="S114" s="46" t="s">
        <v>84</v>
      </c>
      <c r="T114" s="49">
        <f t="array" ref="T114:W117">ABS(MMULT(T132:W135,O114:R117))</f>
        <v>5.0000000000000001E-3</v>
      </c>
      <c r="U114" s="49">
        <v>0</v>
      </c>
      <c r="V114" s="49">
        <v>5.3749995527141473E-5</v>
      </c>
      <c r="W114" s="49">
        <v>5.0053741662191023E-2</v>
      </c>
      <c r="X114" s="70" t="s">
        <v>84</v>
      </c>
      <c r="Y114" s="49">
        <f>F120+F127</f>
        <v>0</v>
      </c>
      <c r="Z114" s="29">
        <f>F123*O128</f>
        <v>0</v>
      </c>
      <c r="AA114" s="29">
        <f>F124*P128</f>
        <v>0</v>
      </c>
      <c r="AB114" s="29">
        <f>F125*Q128</f>
        <v>8.146778127524382E-3</v>
      </c>
    </row>
    <row r="115" spans="1:62" ht="15" customHeight="1">
      <c r="A115" s="60">
        <v>4</v>
      </c>
      <c r="B115" s="1" t="s">
        <v>76</v>
      </c>
      <c r="E115" s="46" t="s">
        <v>113</v>
      </c>
      <c r="F115" s="48">
        <f>'CS_4 Y-Axis'!B47</f>
        <v>5.0000000000000001E-3</v>
      </c>
      <c r="G115" s="46" t="s">
        <v>113</v>
      </c>
      <c r="H115" s="48">
        <f>'CS_4 Y-Axis'!B54</f>
        <v>0</v>
      </c>
      <c r="N115" s="46" t="s">
        <v>112</v>
      </c>
      <c r="O115" s="50">
        <f t="shared" ref="O115:O116" si="25">ABS(F114)</f>
        <v>5.0000000000000001E-3</v>
      </c>
      <c r="P115" s="50">
        <f>ABS(F116*O129)</f>
        <v>2.4999997668939736E-5</v>
      </c>
      <c r="Q115" s="50">
        <f>ABS(F117*P129)</f>
        <v>0</v>
      </c>
      <c r="R115" s="50">
        <f>ABS(F118*Q129)</f>
        <v>0.10747498208541523</v>
      </c>
      <c r="S115" s="46" t="s">
        <v>112</v>
      </c>
      <c r="T115" s="49">
        <v>5.0000000000000001E-3</v>
      </c>
      <c r="U115" s="49">
        <v>2.4999997668939736E-5</v>
      </c>
      <c r="V115" s="49">
        <v>0</v>
      </c>
      <c r="W115" s="49">
        <v>0.10747498208541523</v>
      </c>
      <c r="X115" s="70" t="s">
        <v>112</v>
      </c>
      <c r="Y115" s="49">
        <f t="shared" ref="Y115:Y116" si="26">F121+F128</f>
        <v>-1E-10</v>
      </c>
      <c r="Z115" s="29">
        <f>F123*O129</f>
        <v>0</v>
      </c>
      <c r="AA115" s="29">
        <f>F124*P129</f>
        <v>0</v>
      </c>
      <c r="AB115" s="29">
        <f>F125*Q129</f>
        <v>-1.7492694936149328E-2</v>
      </c>
    </row>
    <row r="116" spans="1:62" ht="15" customHeight="1">
      <c r="A116" s="43">
        <f>IF(A115&gt;Naxes,0,1)</f>
        <v>0</v>
      </c>
      <c r="B116" s="2" t="s">
        <v>177</v>
      </c>
      <c r="C116" s="37">
        <v>0</v>
      </c>
      <c r="E116" s="4" t="s">
        <v>85</v>
      </c>
      <c r="F116" s="48">
        <f>'CS_4 Y-Axis'!B48</f>
        <v>9.9999999000000077E-5</v>
      </c>
      <c r="G116" s="4" t="s">
        <v>85</v>
      </c>
      <c r="H116" s="48">
        <f>'CS_4 Y-Axis'!B55</f>
        <v>0</v>
      </c>
      <c r="N116" s="46" t="s">
        <v>113</v>
      </c>
      <c r="O116" s="50">
        <f t="shared" si="25"/>
        <v>5.0000000000000001E-3</v>
      </c>
      <c r="P116" s="50">
        <f>ABS(F116*O130)</f>
        <v>4.9999991166667201E-2</v>
      </c>
      <c r="Q116" s="50">
        <f>ABS(F117*P130)</f>
        <v>0.10749998208333431</v>
      </c>
      <c r="R116" s="50">
        <f>ABS(F118*Q130)</f>
        <v>0</v>
      </c>
      <c r="S116" s="46" t="s">
        <v>113</v>
      </c>
      <c r="T116" s="49">
        <v>5.0000000000000001E-3</v>
      </c>
      <c r="U116" s="49">
        <v>4.9999991166667201E-2</v>
      </c>
      <c r="V116" s="49">
        <v>0.10749998208333431</v>
      </c>
      <c r="W116" s="49">
        <v>0</v>
      </c>
      <c r="X116" s="70" t="s">
        <v>113</v>
      </c>
      <c r="Y116" s="49">
        <f t="shared" si="26"/>
        <v>0</v>
      </c>
      <c r="Z116" s="29">
        <f>F123*O130</f>
        <v>0</v>
      </c>
      <c r="AA116" s="29">
        <f>F124*P130</f>
        <v>0</v>
      </c>
      <c r="AB116" s="29">
        <f>F125*Q130</f>
        <v>0</v>
      </c>
    </row>
    <row r="117" spans="1:62" ht="15" customHeight="1">
      <c r="A117" s="318" t="s">
        <v>127</v>
      </c>
      <c r="B117" s="2" t="s">
        <v>179</v>
      </c>
      <c r="C117" s="37">
        <v>0</v>
      </c>
      <c r="E117" s="4" t="s">
        <v>86</v>
      </c>
      <c r="F117" s="48">
        <f>'CS_4 Y-Axis'!B49</f>
        <v>1.0000000000000007E-4</v>
      </c>
      <c r="G117" s="4" t="s">
        <v>86</v>
      </c>
      <c r="H117" s="48">
        <f>'CS_4 Y-Axis'!B56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c r="A118" s="318"/>
      <c r="B118" s="2" t="s">
        <v>178</v>
      </c>
      <c r="C118" s="37">
        <v>0</v>
      </c>
      <c r="E118" s="4" t="s">
        <v>87</v>
      </c>
      <c r="F118" s="48">
        <f>'CS_4 Y-Axis'!B50</f>
        <v>1.0000000000000007E-4</v>
      </c>
      <c r="G118" s="4" t="s">
        <v>87</v>
      </c>
      <c r="H118" s="48">
        <f>'CS_4 Y-Axis'!B57</f>
        <v>0</v>
      </c>
      <c r="X118" s="6"/>
    </row>
    <row r="119" spans="1:62" ht="33" customHeight="1">
      <c r="A119" s="318"/>
      <c r="B119" s="2" t="s">
        <v>245</v>
      </c>
      <c r="C119" s="37">
        <f>'CS_5 Bridge'!B14/2+'CS_5 Bridge'!D5</f>
        <v>126.6</v>
      </c>
      <c r="E119" s="299" t="s">
        <v>303</v>
      </c>
      <c r="F119" s="299"/>
      <c r="G119" s="301" t="s">
        <v>251</v>
      </c>
      <c r="H119" s="301"/>
      <c r="I119" s="299" t="s">
        <v>306</v>
      </c>
      <c r="J119" s="299"/>
      <c r="K119" s="299" t="s">
        <v>304</v>
      </c>
      <c r="L119" s="299"/>
      <c r="N119" s="34" t="s">
        <v>99</v>
      </c>
      <c r="O119" s="1"/>
      <c r="P119" s="67"/>
      <c r="Q119" s="1"/>
      <c r="R119" s="1"/>
      <c r="S119" s="34" t="s">
        <v>137</v>
      </c>
      <c r="X119" s="6"/>
      <c r="Y119" s="94" t="s">
        <v>296</v>
      </c>
    </row>
    <row r="120" spans="1:62" ht="15" customHeight="1">
      <c r="A120" s="318"/>
      <c r="B120" s="2" t="s">
        <v>77</v>
      </c>
      <c r="C120" s="100">
        <f>Summary!K10+Summary!L10</f>
        <v>0</v>
      </c>
      <c r="E120" s="46" t="s">
        <v>84</v>
      </c>
      <c r="F120" s="49">
        <f>E136/IF(H120=0,1000000000000,H120)</f>
        <v>0</v>
      </c>
      <c r="G120" s="4" t="s">
        <v>117</v>
      </c>
      <c r="H120" s="29">
        <f>'CS_4 Y-Axis'!B25</f>
        <v>2588000</v>
      </c>
      <c r="I120" s="4" t="s">
        <v>85</v>
      </c>
      <c r="J120" s="49">
        <f>A149*F163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c r="A121" s="312" t="s">
        <v>369</v>
      </c>
      <c r="B121" s="2" t="s">
        <v>107</v>
      </c>
      <c r="C121" s="37">
        <v>0</v>
      </c>
      <c r="E121" s="46" t="s">
        <v>112</v>
      </c>
      <c r="F121" s="49">
        <f t="shared" ref="F121:F122" si="27">E137/IF(H121=0,1000000000000,H121)</f>
        <v>-1E-10</v>
      </c>
      <c r="G121" s="4" t="s">
        <v>118</v>
      </c>
      <c r="H121" s="29">
        <f>'CS_4 Y-Axis'!B26</f>
        <v>0</v>
      </c>
      <c r="I121" s="4" t="s">
        <v>86</v>
      </c>
      <c r="J121" s="49">
        <f>A149*F164</f>
        <v>0</v>
      </c>
      <c r="K121" s="4" t="s">
        <v>86</v>
      </c>
      <c r="L121" s="139">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0</v>
      </c>
      <c r="Z121" s="29">
        <f t="array" ref="Z121:Z124">MMULT(T132:W135,Z114:Z117)</f>
        <v>0</v>
      </c>
      <c r="AA121" s="29">
        <f t="array" ref="AA121:AA124">MMULT(T132:W135,AA114:AA117)</f>
        <v>0</v>
      </c>
      <c r="AB121" s="29">
        <f t="array" ref="AB121:AB124">MMULT(T132:W135,AB114:AB117)</f>
        <v>8.146778127524382E-3</v>
      </c>
    </row>
    <row r="122" spans="1:62" ht="15" customHeight="1">
      <c r="A122" s="313"/>
      <c r="B122" s="34" t="s">
        <v>78</v>
      </c>
      <c r="E122" s="46" t="s">
        <v>113</v>
      </c>
      <c r="F122" s="49">
        <f t="shared" si="27"/>
        <v>0</v>
      </c>
      <c r="G122" s="4" t="s">
        <v>119</v>
      </c>
      <c r="H122" s="29">
        <f>'CS_4 Y-Axis'!B27</f>
        <v>2588000</v>
      </c>
      <c r="I122" s="4" t="s">
        <v>87</v>
      </c>
      <c r="J122" s="49">
        <f>A149*F165</f>
        <v>0</v>
      </c>
      <c r="K122" s="4" t="s">
        <v>87</v>
      </c>
      <c r="L122" s="139">
        <v>0</v>
      </c>
      <c r="N122" s="46" t="s">
        <v>112</v>
      </c>
      <c r="O122" s="50">
        <f>H114</f>
        <v>0</v>
      </c>
      <c r="P122" s="50">
        <f>H116*O129</f>
        <v>0</v>
      </c>
      <c r="Q122" s="50">
        <f>H117*P129</f>
        <v>0</v>
      </c>
      <c r="R122" s="50">
        <f>H118*Q129</f>
        <v>0</v>
      </c>
      <c r="S122" s="46" t="s">
        <v>112</v>
      </c>
      <c r="T122" s="50">
        <v>0</v>
      </c>
      <c r="U122" s="50">
        <v>0</v>
      </c>
      <c r="V122" s="50">
        <v>0</v>
      </c>
      <c r="W122" s="50">
        <v>0</v>
      </c>
      <c r="X122" s="70" t="s">
        <v>112</v>
      </c>
      <c r="Y122" s="29">
        <v>-1E-10</v>
      </c>
      <c r="Z122" s="29">
        <v>0</v>
      </c>
      <c r="AA122" s="29">
        <v>0</v>
      </c>
      <c r="AB122" s="29">
        <v>-1.7492694936149328E-2</v>
      </c>
    </row>
    <row r="123" spans="1:62" ht="15" customHeight="1">
      <c r="A123" s="313"/>
      <c r="B123" s="12" t="s">
        <v>79</v>
      </c>
      <c r="C123" s="31">
        <f>AC132+C119</f>
        <v>1201.5999999999999</v>
      </c>
      <c r="E123" s="4" t="s">
        <v>85</v>
      </c>
      <c r="F123" s="49">
        <f>E140/IF(H123=0,1000000000000,H123)+L120</f>
        <v>0</v>
      </c>
      <c r="G123" s="46" t="s">
        <v>8</v>
      </c>
      <c r="H123" s="29">
        <f>'CS_4 Y-Axis'!B29</f>
        <v>6874375000</v>
      </c>
      <c r="I123" s="4" t="s">
        <v>305</v>
      </c>
      <c r="J123" s="29">
        <v>1</v>
      </c>
      <c r="K123" s="4" t="s">
        <v>305</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0</v>
      </c>
      <c r="AA123" s="29">
        <v>0</v>
      </c>
      <c r="AB123" s="29">
        <v>0</v>
      </c>
    </row>
    <row r="124" spans="1:62" ht="15" customHeight="1">
      <c r="A124" s="313"/>
      <c r="B124" s="12" t="s">
        <v>80</v>
      </c>
      <c r="C124" s="31">
        <f>AC133+C120</f>
        <v>500</v>
      </c>
      <c r="E124" s="4" t="s">
        <v>86</v>
      </c>
      <c r="F124" s="49">
        <f t="shared" ref="F124:F125" si="28">E141/IF(H124=0,1000000000000,H124)+L121</f>
        <v>0</v>
      </c>
      <c r="G124" s="46" t="s">
        <v>120</v>
      </c>
      <c r="H124" s="29">
        <f>'CS_4 Y-Axis'!B30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c r="A125" s="313"/>
      <c r="B125" s="12" t="s">
        <v>81</v>
      </c>
      <c r="C125" s="31">
        <f>AC134+C121</f>
        <v>0</v>
      </c>
      <c r="E125" s="4" t="s">
        <v>87</v>
      </c>
      <c r="F125" s="49">
        <f t="shared" si="28"/>
        <v>-1.6276062202315237E-5</v>
      </c>
      <c r="G125" s="46" t="s">
        <v>116</v>
      </c>
      <c r="H125" s="29">
        <f>'CS_4 Y-Axis'!B31</f>
        <v>6604791666.666667</v>
      </c>
      <c r="AB125" s="5"/>
      <c r="AU125" s="5" t="s">
        <v>67</v>
      </c>
      <c r="AZ125" s="5" t="s">
        <v>92</v>
      </c>
      <c r="BE125" s="5" t="s">
        <v>97</v>
      </c>
      <c r="BJ125" s="5" t="s">
        <v>97</v>
      </c>
    </row>
    <row r="126" spans="1:62" ht="30">
      <c r="A126" s="313"/>
      <c r="B126" s="69" t="s">
        <v>106</v>
      </c>
      <c r="E126" s="301" t="s">
        <v>294</v>
      </c>
      <c r="F126" s="315"/>
      <c r="G126" s="309" t="s">
        <v>293</v>
      </c>
      <c r="H126" s="310"/>
      <c r="I126" s="310"/>
      <c r="J126" s="310"/>
      <c r="K126" s="310"/>
      <c r="L126" s="311"/>
      <c r="M126" s="93" t="s">
        <v>295</v>
      </c>
      <c r="N126" s="84" t="s">
        <v>248</v>
      </c>
      <c r="AE126" s="45" t="s">
        <v>227</v>
      </c>
      <c r="AF126" s="91">
        <v>1E-3</v>
      </c>
      <c r="AG126" s="45"/>
      <c r="AH126" s="45"/>
      <c r="AI126" s="45"/>
      <c r="AJ126" s="45" t="s">
        <v>93</v>
      </c>
      <c r="AK126" s="92">
        <v>1E-3</v>
      </c>
      <c r="AL126" s="7"/>
      <c r="AM126" s="7"/>
      <c r="AN126" s="45"/>
      <c r="AO126" s="45" t="s">
        <v>226</v>
      </c>
      <c r="AP126" s="91">
        <v>1E-3</v>
      </c>
      <c r="AU126" s="7" t="s">
        <v>0</v>
      </c>
      <c r="AV126" s="7" t="s">
        <v>1</v>
      </c>
      <c r="AW126" s="7" t="s">
        <v>2</v>
      </c>
      <c r="AZ126" s="7" t="s">
        <v>0</v>
      </c>
      <c r="BA126" s="7" t="s">
        <v>1</v>
      </c>
      <c r="BB126" s="7" t="s">
        <v>2</v>
      </c>
      <c r="BE126" s="7" t="s">
        <v>0</v>
      </c>
      <c r="BF126" s="7" t="s">
        <v>1</v>
      </c>
      <c r="BG126" s="7" t="s">
        <v>2</v>
      </c>
    </row>
    <row r="127" spans="1:62" ht="15" customHeight="1">
      <c r="A127" s="313"/>
      <c r="B127" s="41" t="s">
        <v>100</v>
      </c>
      <c r="C127" s="43">
        <f t="array" ref="C127:C130">MMULT(O99:R102,E103:E106)</f>
        <v>0</v>
      </c>
      <c r="E127" s="46" t="s">
        <v>84</v>
      </c>
      <c r="F127" s="49">
        <f t="array" ref="F127:F132">MMULT(G127:L132,M127:M132)</f>
        <v>0</v>
      </c>
      <c r="G127" s="132">
        <f>'CS_4 Y-Axis'!G5</f>
        <v>0</v>
      </c>
      <c r="H127" s="132">
        <f>'CS_4 Y-Axis'!H5</f>
        <v>0</v>
      </c>
      <c r="I127" s="132">
        <f>'CS_4 Y-Axis'!I5</f>
        <v>0</v>
      </c>
      <c r="J127" s="132">
        <f>'CS_4 Y-Axis'!J5</f>
        <v>0</v>
      </c>
      <c r="K127" s="132">
        <f>'CS_4 Y-Axis'!K5</f>
        <v>0</v>
      </c>
      <c r="L127" s="132">
        <f>'CS_4 Y-Axis'!L5</f>
        <v>0</v>
      </c>
      <c r="M127" s="29">
        <f>C127</f>
        <v>0</v>
      </c>
      <c r="O127" s="7" t="s">
        <v>4</v>
      </c>
      <c r="P127" s="26" t="s">
        <v>5</v>
      </c>
      <c r="Q127" s="26" t="s">
        <v>6</v>
      </c>
      <c r="R127" s="26"/>
      <c r="S127" s="26"/>
      <c r="T127" s="26"/>
      <c r="U127" s="26"/>
      <c r="V127" s="26"/>
      <c r="W127" s="26"/>
      <c r="X127" s="26"/>
      <c r="Y127" s="26"/>
      <c r="Z127" s="26"/>
      <c r="AA127" s="26"/>
      <c r="AB127" t="s">
        <v>66</v>
      </c>
      <c r="AC127" s="29">
        <f>C112</f>
        <v>1075</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1075</v>
      </c>
      <c r="AV127" s="49">
        <f>AU127-$AC127</f>
        <v>0</v>
      </c>
      <c r="AW127" s="49">
        <f>AV127/AF126</f>
        <v>0</v>
      </c>
      <c r="AX127" s="80"/>
      <c r="AY127" s="29" t="s">
        <v>63</v>
      </c>
      <c r="AZ127" s="49">
        <f t="array" ref="AZ127:AZ130">MMULT(AJ127:AM130,$AC127:$AC130)</f>
        <v>1074.9994625000447</v>
      </c>
      <c r="BA127" s="49">
        <f>AZ127-$AC127</f>
        <v>-5.3749995527141436E-4</v>
      </c>
      <c r="BB127" s="49">
        <f>BA127/AK126</f>
        <v>-0.53749995527141436</v>
      </c>
      <c r="BC127" s="80"/>
      <c r="BD127" s="29" t="s">
        <v>63</v>
      </c>
      <c r="BE127" s="49">
        <f t="array" ref="BE127:BE130">MMULT(AO127:AR130,$AC127:$AC130)</f>
        <v>1074.4994625833781</v>
      </c>
      <c r="BF127" s="49">
        <f>BE127-$AC127</f>
        <v>-0.50053741662190987</v>
      </c>
      <c r="BG127" s="49">
        <f>BF127/AP126</f>
        <v>-500.53741662190987</v>
      </c>
    </row>
    <row r="128" spans="1:62">
      <c r="A128" s="313"/>
      <c r="B128" s="41" t="s">
        <v>101</v>
      </c>
      <c r="C128" s="43">
        <v>-100</v>
      </c>
      <c r="E128" s="46" t="s">
        <v>112</v>
      </c>
      <c r="F128" s="49">
        <v>0</v>
      </c>
      <c r="G128" s="132">
        <f>'CS_4 Y-Axis'!G6</f>
        <v>0</v>
      </c>
      <c r="H128" s="132">
        <f>'CS_4 Y-Axis'!H6</f>
        <v>0</v>
      </c>
      <c r="I128" s="132">
        <f>'CS_4 Y-Axis'!I6</f>
        <v>0</v>
      </c>
      <c r="J128" s="132">
        <f>'CS_4 Y-Axis'!J6</f>
        <v>0</v>
      </c>
      <c r="K128" s="132">
        <f>'CS_4 Y-Axis'!K6</f>
        <v>0</v>
      </c>
      <c r="L128" s="132">
        <f>'CS_4 Y-Axis'!L6</f>
        <v>0</v>
      </c>
      <c r="M128" s="29">
        <f t="shared" ref="M128:M129" si="29">C128</f>
        <v>-100</v>
      </c>
      <c r="N128" s="46" t="s">
        <v>84</v>
      </c>
      <c r="O128" s="31">
        <f>AW127</f>
        <v>0</v>
      </c>
      <c r="P128" s="31">
        <f>BB127</f>
        <v>-0.53749995527141436</v>
      </c>
      <c r="Q128" s="31">
        <f>BG127</f>
        <v>-500.53741662190987</v>
      </c>
      <c r="AB128" t="s">
        <v>71</v>
      </c>
      <c r="AC128" s="29">
        <f>C113</f>
        <v>500</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499.99975000002081</v>
      </c>
      <c r="AV128" s="49">
        <f>AU128-$AC128</f>
        <v>-2.4999997918939698E-4</v>
      </c>
      <c r="AW128" s="49">
        <f>AV128/AF126</f>
        <v>-0.24999997918939698</v>
      </c>
      <c r="AX128" s="80"/>
      <c r="AY128" s="29" t="s">
        <v>64</v>
      </c>
      <c r="AZ128" s="49">
        <v>500</v>
      </c>
      <c r="BA128" s="49">
        <f>AZ128-$AC128</f>
        <v>0</v>
      </c>
      <c r="BB128" s="49">
        <f>BA128/AK126</f>
        <v>0</v>
      </c>
      <c r="BC128" s="80"/>
      <c r="BD128" s="29" t="s">
        <v>64</v>
      </c>
      <c r="BE128" s="49">
        <v>501.07474982085415</v>
      </c>
      <c r="BF128" s="49">
        <f>BE128-$AC128</f>
        <v>1.0747498208541515</v>
      </c>
      <c r="BG128" s="49">
        <f>BF128/AP126</f>
        <v>1074.7498208541515</v>
      </c>
    </row>
    <row r="129" spans="1:59">
      <c r="A129" s="313"/>
      <c r="B129" s="41" t="s">
        <v>102</v>
      </c>
      <c r="C129" s="43">
        <v>0</v>
      </c>
      <c r="E129" s="46" t="s">
        <v>113</v>
      </c>
      <c r="F129" s="49">
        <v>0</v>
      </c>
      <c r="G129" s="132">
        <f>'CS_4 Y-Axis'!G7</f>
        <v>0</v>
      </c>
      <c r="H129" s="132">
        <f>'CS_4 Y-Axis'!H7</f>
        <v>0</v>
      </c>
      <c r="I129" s="132">
        <f>'CS_4 Y-Axis'!I7</f>
        <v>0</v>
      </c>
      <c r="J129" s="132">
        <f>'CS_4 Y-Axis'!J7</f>
        <v>0</v>
      </c>
      <c r="K129" s="132">
        <f>'CS_4 Y-Axis'!K7</f>
        <v>0</v>
      </c>
      <c r="L129" s="132">
        <f>'CS_4 Y-Axis'!L7</f>
        <v>0</v>
      </c>
      <c r="M129" s="29">
        <f t="shared" si="29"/>
        <v>0</v>
      </c>
      <c r="N129" s="46" t="s">
        <v>112</v>
      </c>
      <c r="O129" s="31">
        <f t="shared" ref="O129:O130" si="30">AW128</f>
        <v>-0.24999997918939698</v>
      </c>
      <c r="P129" s="31">
        <f t="shared" ref="P129:P130" si="31">BB128</f>
        <v>0</v>
      </c>
      <c r="Q129" s="31">
        <f t="shared" ref="Q129:Q130" si="32">BG128</f>
        <v>1074.7498208541515</v>
      </c>
      <c r="AB129" t="s">
        <v>72</v>
      </c>
      <c r="AC129" s="29">
        <f>C114</f>
        <v>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0.49999991666667082</v>
      </c>
      <c r="AV129" s="49">
        <f>AU129-$AC129</f>
        <v>0.49999991666667082</v>
      </c>
      <c r="AW129" s="49">
        <f>AV129/AF126</f>
        <v>499.9999166666708</v>
      </c>
      <c r="AX129" s="80"/>
      <c r="AY129" s="29" t="s">
        <v>65</v>
      </c>
      <c r="AZ129" s="49">
        <v>-1.0749998208333422</v>
      </c>
      <c r="BA129" s="49">
        <f>AZ129-$AC129</f>
        <v>-1.0749998208333422</v>
      </c>
      <c r="BB129" s="49">
        <f>BA129/AK126</f>
        <v>-1074.9998208333423</v>
      </c>
      <c r="BC129" s="80"/>
      <c r="BD129" s="29" t="s">
        <v>65</v>
      </c>
      <c r="BE129" s="49">
        <v>0</v>
      </c>
      <c r="BF129" s="49">
        <f>BE129-$AC129</f>
        <v>0</v>
      </c>
      <c r="BG129" s="49">
        <f>BF129/AP126</f>
        <v>0</v>
      </c>
    </row>
    <row r="130" spans="1:59" ht="15" customHeight="1">
      <c r="A130" s="313"/>
      <c r="B130" s="41" t="s">
        <v>108</v>
      </c>
      <c r="C130" s="43">
        <v>1</v>
      </c>
      <c r="E130" s="4" t="s">
        <v>85</v>
      </c>
      <c r="F130" s="49">
        <v>0</v>
      </c>
      <c r="G130" s="132">
        <f>'CS_4 Y-Axis'!G8</f>
        <v>0</v>
      </c>
      <c r="H130" s="132">
        <f>'CS_4 Y-Axis'!H8</f>
        <v>0</v>
      </c>
      <c r="I130" s="132">
        <f>'CS_4 Y-Axis'!I8</f>
        <v>0</v>
      </c>
      <c r="J130" s="132">
        <f>'CS_4 Y-Axis'!J8</f>
        <v>0</v>
      </c>
      <c r="K130" s="132">
        <f>'CS_4 Y-Axis'!K8</f>
        <v>0</v>
      </c>
      <c r="L130" s="132">
        <f>'CS_4 Y-Axis'!L8</f>
        <v>0</v>
      </c>
      <c r="M130" s="29">
        <f>C131</f>
        <v>0</v>
      </c>
      <c r="N130" s="46" t="s">
        <v>113</v>
      </c>
      <c r="O130" s="31">
        <f t="shared" si="30"/>
        <v>499.9999166666708</v>
      </c>
      <c r="P130" s="31">
        <f t="shared" si="31"/>
        <v>-1074.9998208333423</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c r="A131" s="313"/>
      <c r="B131" s="41" t="s">
        <v>103</v>
      </c>
      <c r="C131" s="43">
        <f t="array" ref="C131:C134">MMULT(O99:R102,E107:E110)</f>
        <v>0</v>
      </c>
      <c r="E131" s="4" t="s">
        <v>86</v>
      </c>
      <c r="F131" s="49">
        <v>0</v>
      </c>
      <c r="G131" s="132">
        <f>'CS_4 Y-Axis'!G9</f>
        <v>0</v>
      </c>
      <c r="H131" s="132">
        <f>'CS_4 Y-Axis'!H9</f>
        <v>0</v>
      </c>
      <c r="I131" s="132">
        <f>'CS_4 Y-Axis'!I9</f>
        <v>0</v>
      </c>
      <c r="J131" s="132">
        <f>'CS_4 Y-Axis'!J9</f>
        <v>0</v>
      </c>
      <c r="K131" s="132">
        <f>'CS_4 Y-Axis'!K9</f>
        <v>0</v>
      </c>
      <c r="L131" s="132">
        <f>'CS_4 Y-Axis'!L9</f>
        <v>0</v>
      </c>
      <c r="M131" s="29">
        <f>C132</f>
        <v>0</v>
      </c>
      <c r="O131" s="3" t="s">
        <v>82</v>
      </c>
      <c r="T131" s="3" t="s">
        <v>83</v>
      </c>
      <c r="AE131" t="s">
        <v>95</v>
      </c>
      <c r="AJ131" t="s">
        <v>94</v>
      </c>
      <c r="AO131" t="s">
        <v>96</v>
      </c>
    </row>
    <row r="132" spans="1:59" ht="15" customHeight="1">
      <c r="A132" s="313"/>
      <c r="B132" s="41" t="s">
        <v>104</v>
      </c>
      <c r="C132" s="43">
        <v>0</v>
      </c>
      <c r="E132" s="4" t="s">
        <v>87</v>
      </c>
      <c r="F132" s="49">
        <v>0</v>
      </c>
      <c r="G132" s="132">
        <f>'CS_4 Y-Axis'!G10</f>
        <v>0</v>
      </c>
      <c r="H132" s="132">
        <f>'CS_4 Y-Axis'!H10</f>
        <v>0</v>
      </c>
      <c r="I132" s="132">
        <f>'CS_4 Y-Axis'!I10</f>
        <v>0</v>
      </c>
      <c r="J132" s="132">
        <f>'CS_4 Y-Axis'!J10</f>
        <v>0</v>
      </c>
      <c r="K132" s="132">
        <f>'CS_4 Y-Axis'!K10</f>
        <v>0</v>
      </c>
      <c r="L132" s="132">
        <f>'CS_4 Y-Axis'!L10</f>
        <v>0</v>
      </c>
      <c r="M132" s="29">
        <f>C133</f>
        <v>-100000</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1075</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c r="A133" s="313"/>
      <c r="B133" s="41" t="s">
        <v>105</v>
      </c>
      <c r="C133" s="43">
        <v>-100000</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500</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c r="A134" s="313"/>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c r="A135" s="313"/>
      <c r="B135" s="77" t="s">
        <v>183</v>
      </c>
      <c r="C135"/>
      <c r="D135" s="89" t="s">
        <v>246</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c r="A136" s="313"/>
      <c r="B136" s="41" t="s">
        <v>100</v>
      </c>
      <c r="C136" s="42">
        <v>0</v>
      </c>
      <c r="D136" s="41" t="s">
        <v>100</v>
      </c>
      <c r="E136" s="43">
        <f>C127+C136</f>
        <v>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c r="A137" s="313"/>
      <c r="B137" s="41" t="s">
        <v>101</v>
      </c>
      <c r="C137" s="42">
        <v>0</v>
      </c>
      <c r="D137" s="41" t="s">
        <v>101</v>
      </c>
      <c r="E137" s="43">
        <f>C128+C137</f>
        <v>-100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c r="A138" s="313"/>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c r="A139" s="313"/>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c r="A140" s="313"/>
      <c r="B140" s="41" t="s">
        <v>103</v>
      </c>
      <c r="C140" s="42">
        <v>0</v>
      </c>
      <c r="D140" s="41" t="s">
        <v>103</v>
      </c>
      <c r="E140" s="43">
        <f>C131+C140+C129*C87-C128*C88</f>
        <v>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c r="A141" s="313"/>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c r="A142" s="313"/>
      <c r="B142" s="41" t="s">
        <v>105</v>
      </c>
      <c r="C142" s="42">
        <v>0</v>
      </c>
      <c r="D142" s="41" t="s">
        <v>105</v>
      </c>
      <c r="E142" s="43">
        <f>C133+C142+C128*C86-C127*C87</f>
        <v>-107500</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 thickBot="1">
      <c r="A143" s="314"/>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c r="A144" s="316" t="s">
        <v>327</v>
      </c>
      <c r="B144" s="68" t="s">
        <v>250</v>
      </c>
      <c r="E144" s="1" t="s">
        <v>144</v>
      </c>
    </row>
    <row r="145" spans="1:62" ht="15" customHeight="1">
      <c r="A145" s="316"/>
      <c r="B145" s="12" t="s">
        <v>73</v>
      </c>
      <c r="C145" s="56">
        <f>C123</f>
        <v>1201.5999999999999</v>
      </c>
      <c r="E145" s="301" t="s">
        <v>138</v>
      </c>
      <c r="F145" s="301"/>
      <c r="G145" s="301" t="s">
        <v>139</v>
      </c>
      <c r="H145" s="301"/>
      <c r="N145" s="34" t="s">
        <v>98</v>
      </c>
      <c r="O145" s="1"/>
      <c r="P145" s="67"/>
      <c r="Q145" s="1"/>
      <c r="R145" s="1"/>
      <c r="S145" s="34" t="s">
        <v>136</v>
      </c>
      <c r="Y145" s="94" t="s">
        <v>297</v>
      </c>
    </row>
    <row r="146" spans="1:62" ht="15" customHeight="1">
      <c r="A146" s="316"/>
      <c r="B146" s="12" t="s">
        <v>74</v>
      </c>
      <c r="C146" s="56">
        <f>C124</f>
        <v>500</v>
      </c>
      <c r="E146" s="46" t="s">
        <v>84</v>
      </c>
      <c r="F146" s="48">
        <f>'CS_5 Bridge'!B45</f>
        <v>5.0000000000000001E-3</v>
      </c>
      <c r="G146" s="46" t="s">
        <v>84</v>
      </c>
      <c r="H146" s="48">
        <f>'CS_5 Bridge'!B52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c r="A147" s="316"/>
      <c r="B147" s="12" t="s">
        <v>75</v>
      </c>
      <c r="C147" s="56">
        <f>C125</f>
        <v>0</v>
      </c>
      <c r="E147" s="46" t="s">
        <v>112</v>
      </c>
      <c r="F147" s="48">
        <f>'CS_5 Bridge'!B46</f>
        <v>5.0000000000000001E-3</v>
      </c>
      <c r="G147" s="46" t="s">
        <v>112</v>
      </c>
      <c r="H147" s="48">
        <f>'CS_5 Bridge'!B53</f>
        <v>0</v>
      </c>
      <c r="N147" s="46" t="s">
        <v>84</v>
      </c>
      <c r="O147" s="50">
        <f>ABS(F146)</f>
        <v>5.0000000000000001E-3</v>
      </c>
      <c r="P147" s="50">
        <f>ABS(F149*O161)</f>
        <v>0</v>
      </c>
      <c r="Q147" s="50">
        <f>ABS(F150*P161)</f>
        <v>6.0079994399905916E-5</v>
      </c>
      <c r="R147" s="50">
        <f>ABS(F151*Q161)</f>
        <v>5.0060071661664589E-2</v>
      </c>
      <c r="S147" s="46" t="s">
        <v>84</v>
      </c>
      <c r="T147" s="49">
        <f t="array" ref="T147:W150">ABS(MMULT(T165:W168,O147:R150))</f>
        <v>5.0000000000000001E-3</v>
      </c>
      <c r="U147" s="49">
        <v>0</v>
      </c>
      <c r="V147" s="49">
        <v>6.0079994399905916E-5</v>
      </c>
      <c r="W147" s="49">
        <v>5.0060071661664589E-2</v>
      </c>
      <c r="X147" s="70" t="s">
        <v>84</v>
      </c>
      <c r="Y147" s="49">
        <f>F153+F160</f>
        <v>9.8426345078225373E-4</v>
      </c>
      <c r="Z147" s="29">
        <f>F156*O161</f>
        <v>0</v>
      </c>
      <c r="AA147" s="29">
        <f>F157*P161</f>
        <v>0</v>
      </c>
      <c r="AB147" s="29">
        <f>F158*Q161</f>
        <v>6.0128130856313602E-3</v>
      </c>
    </row>
    <row r="148" spans="1:62" ht="15" customHeight="1">
      <c r="A148" s="60">
        <v>5</v>
      </c>
      <c r="B148" s="1" t="s">
        <v>76</v>
      </c>
      <c r="E148" s="46" t="s">
        <v>113</v>
      </c>
      <c r="F148" s="48">
        <f>'CS_5 Bridge'!B47</f>
        <v>5.0000000000000001E-3</v>
      </c>
      <c r="G148" s="46" t="s">
        <v>113</v>
      </c>
      <c r="H148" s="48">
        <f>'CS_5 Bridge'!B54</f>
        <v>0</v>
      </c>
      <c r="N148" s="46" t="s">
        <v>112</v>
      </c>
      <c r="O148" s="50">
        <f t="shared" ref="O148:O149" si="33">ABS(F147)</f>
        <v>5.0000000000000001E-3</v>
      </c>
      <c r="P148" s="50">
        <f>ABS(F149*O162)</f>
        <v>2.4999997918939715E-5</v>
      </c>
      <c r="Q148" s="50">
        <f>ABS(F150*P162)</f>
        <v>0</v>
      </c>
      <c r="R148" s="50">
        <f>ABS(F151*Q162)</f>
        <v>0.12013497997541557</v>
      </c>
      <c r="S148" s="46" t="s">
        <v>112</v>
      </c>
      <c r="T148" s="49">
        <v>5.0000000000000001E-3</v>
      </c>
      <c r="U148" s="49">
        <v>2.4999997918939715E-5</v>
      </c>
      <c r="V148" s="49">
        <v>0</v>
      </c>
      <c r="W148" s="49">
        <v>0.12013497997541557</v>
      </c>
      <c r="X148" s="70" t="s">
        <v>112</v>
      </c>
      <c r="Y148" s="49">
        <f t="shared" ref="Y148:Y149" si="34">F154+F161</f>
        <v>-3.890616997935169E-5</v>
      </c>
      <c r="Z148" s="29">
        <f>F156*O162</f>
        <v>0</v>
      </c>
      <c r="AA148" s="29">
        <f>F157*P162</f>
        <v>0</v>
      </c>
      <c r="AB148" s="29">
        <f>F158*Q162</f>
        <v>-1.442964733491196E-2</v>
      </c>
    </row>
    <row r="149" spans="1:62" ht="15" customHeight="1">
      <c r="A149" s="43">
        <f>IF(A148&gt;Naxes,0,1)</f>
        <v>0</v>
      </c>
      <c r="B149" s="2" t="s">
        <v>177</v>
      </c>
      <c r="C149" s="37">
        <v>0</v>
      </c>
      <c r="E149" s="4" t="s">
        <v>85</v>
      </c>
      <c r="F149" s="48">
        <f>'CS_5 Bridge'!B48</f>
        <v>1.0000000000000007E-4</v>
      </c>
      <c r="G149" s="4" t="s">
        <v>85</v>
      </c>
      <c r="H149" s="48">
        <f>'CS_5 Bridge'!B55</f>
        <v>0</v>
      </c>
      <c r="N149" s="46" t="s">
        <v>113</v>
      </c>
      <c r="O149" s="50">
        <f t="shared" si="33"/>
        <v>5.0000000000000001E-3</v>
      </c>
      <c r="P149" s="50">
        <f>ABS(F149*O163)</f>
        <v>4.9999991666667118E-2</v>
      </c>
      <c r="Q149" s="50">
        <f>ABS(F150*P163)</f>
        <v>0.12015997877173461</v>
      </c>
      <c r="R149" s="50">
        <f>ABS(F151*Q163)</f>
        <v>0</v>
      </c>
      <c r="S149" s="46" t="s">
        <v>113</v>
      </c>
      <c r="T149" s="49">
        <v>5.0000000000000001E-3</v>
      </c>
      <c r="U149" s="49">
        <v>4.9999991666667118E-2</v>
      </c>
      <c r="V149" s="49">
        <v>0.12015997877173461</v>
      </c>
      <c r="W149" s="49">
        <v>0</v>
      </c>
      <c r="X149" s="70" t="s">
        <v>113</v>
      </c>
      <c r="Y149" s="49">
        <f t="shared" si="34"/>
        <v>0</v>
      </c>
      <c r="Z149" s="29">
        <f>F156*O163</f>
        <v>0</v>
      </c>
      <c r="AA149" s="29">
        <f>F157*P163</f>
        <v>0</v>
      </c>
      <c r="AB149" s="29">
        <f>F158*Q163</f>
        <v>0</v>
      </c>
    </row>
    <row r="150" spans="1:62" ht="15" customHeight="1">
      <c r="A150" s="318" t="s">
        <v>127</v>
      </c>
      <c r="B150" s="2" t="s">
        <v>179</v>
      </c>
      <c r="C150" s="37">
        <v>0</v>
      </c>
      <c r="E150" s="4" t="s">
        <v>86</v>
      </c>
      <c r="F150" s="48">
        <f>'CS_5 Bridge'!B49</f>
        <v>9.9999999000000077E-5</v>
      </c>
      <c r="G150" s="4" t="s">
        <v>86</v>
      </c>
      <c r="H150" s="48">
        <f>'CS_5 Bridge'!B56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c r="A151" s="318"/>
      <c r="B151" s="2" t="s">
        <v>178</v>
      </c>
      <c r="C151" s="37">
        <v>0</v>
      </c>
      <c r="E151" s="4" t="s">
        <v>87</v>
      </c>
      <c r="F151" s="48">
        <f>'CS_5 Bridge'!B50</f>
        <v>1.0000000000000007E-4</v>
      </c>
      <c r="G151" s="4" t="s">
        <v>87</v>
      </c>
      <c r="H151" s="48">
        <f>'CS_5 Bridge'!B57</f>
        <v>0</v>
      </c>
      <c r="X151" s="6"/>
    </row>
    <row r="152" spans="1:62" ht="31" customHeight="1">
      <c r="A152" s="318"/>
      <c r="B152" s="2" t="s">
        <v>245</v>
      </c>
      <c r="C152" s="37">
        <v>0</v>
      </c>
      <c r="E152" s="299" t="s">
        <v>303</v>
      </c>
      <c r="F152" s="299"/>
      <c r="G152" s="301" t="s">
        <v>251</v>
      </c>
      <c r="H152" s="301"/>
      <c r="I152" s="299" t="s">
        <v>306</v>
      </c>
      <c r="J152" s="299"/>
      <c r="K152" s="299" t="s">
        <v>304</v>
      </c>
      <c r="L152" s="299"/>
      <c r="N152" s="34" t="s">
        <v>99</v>
      </c>
      <c r="O152" s="1"/>
      <c r="P152" s="67"/>
      <c r="Q152" s="1"/>
      <c r="R152" s="1"/>
      <c r="S152" s="34" t="s">
        <v>137</v>
      </c>
      <c r="X152" s="6"/>
      <c r="Y152" s="94" t="s">
        <v>296</v>
      </c>
    </row>
    <row r="153" spans="1:62" ht="15" customHeight="1">
      <c r="A153" s="318"/>
      <c r="B153" s="2" t="s">
        <v>77</v>
      </c>
      <c r="C153" s="38">
        <v>0</v>
      </c>
      <c r="E153" s="46" t="s">
        <v>84</v>
      </c>
      <c r="F153" s="49">
        <f>E169/IF(H153=0,1000000000000,H153)</f>
        <v>0</v>
      </c>
      <c r="G153" s="4" t="s">
        <v>117</v>
      </c>
      <c r="H153" s="29">
        <f>'CS_5 Bridge'!B25</f>
        <v>4000000</v>
      </c>
      <c r="I153" s="4" t="s">
        <v>85</v>
      </c>
      <c r="J153" s="49">
        <f>A182*F196</f>
        <v>0</v>
      </c>
      <c r="K153" s="4" t="s">
        <v>85</v>
      </c>
      <c r="L153" s="139">
        <f t="array" ref="L153:L156">MMULT(MINVERSE(O165:R168),J153:J156)</f>
        <v>0</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c r="A154" s="312" t="s">
        <v>337</v>
      </c>
      <c r="B154" s="2" t="s">
        <v>107</v>
      </c>
      <c r="C154" s="100">
        <f>'CS_6 X-axis'!B12+'CS_5 Bridge'!B13/2</f>
        <v>801.6</v>
      </c>
      <c r="E154" s="46" t="s">
        <v>112</v>
      </c>
      <c r="F154" s="49">
        <f t="shared" ref="F154:F155" si="35">E170/IF(H154=0,1000000000000,H154)</f>
        <v>-2.5000000000000001E-5</v>
      </c>
      <c r="G154" s="4" t="s">
        <v>118</v>
      </c>
      <c r="H154" s="29">
        <f>'CS_5 Bridge'!B26</f>
        <v>4000000</v>
      </c>
      <c r="I154" s="4" t="s">
        <v>86</v>
      </c>
      <c r="J154" s="49">
        <f>A182*F197</f>
        <v>0</v>
      </c>
      <c r="K154" s="4" t="s">
        <v>86</v>
      </c>
      <c r="L154" s="139">
        <v>0</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9.8426345078225373E-4</v>
      </c>
      <c r="Z154" s="29">
        <f t="array" ref="Z154:Z157">MMULT(T165:W168,Z147:Z150)</f>
        <v>0</v>
      </c>
      <c r="AA154" s="29">
        <f t="array" ref="AA154:AA157">MMULT(T165:W168,AA147:AA150)</f>
        <v>0</v>
      </c>
      <c r="AB154" s="29">
        <f t="array" ref="AB154:AB157">MMULT(T165:W168,AB147:AB150)</f>
        <v>6.0128130856313602E-3</v>
      </c>
    </row>
    <row r="155" spans="1:62" ht="15" customHeight="1">
      <c r="A155" s="313"/>
      <c r="B155" s="34" t="s">
        <v>78</v>
      </c>
      <c r="E155" s="46" t="s">
        <v>113</v>
      </c>
      <c r="F155" s="49">
        <f t="shared" si="35"/>
        <v>0</v>
      </c>
      <c r="G155" s="4" t="s">
        <v>119</v>
      </c>
      <c r="H155" s="29">
        <f>'CS_5 Bridge'!B27</f>
        <v>4000000</v>
      </c>
      <c r="I155" s="4" t="s">
        <v>87</v>
      </c>
      <c r="J155" s="49">
        <f>A182*F198</f>
        <v>0</v>
      </c>
      <c r="K155" s="4" t="s">
        <v>87</v>
      </c>
      <c r="L155" s="139">
        <v>0</v>
      </c>
      <c r="N155" s="46" t="s">
        <v>112</v>
      </c>
      <c r="O155" s="50">
        <f>H147</f>
        <v>0</v>
      </c>
      <c r="P155" s="50">
        <f>H149*O162</f>
        <v>0</v>
      </c>
      <c r="Q155" s="50">
        <f>H150*P162</f>
        <v>0</v>
      </c>
      <c r="R155" s="50">
        <f>H151*Q162</f>
        <v>0</v>
      </c>
      <c r="S155" s="46" t="s">
        <v>112</v>
      </c>
      <c r="T155" s="50">
        <v>0</v>
      </c>
      <c r="U155" s="50">
        <v>0</v>
      </c>
      <c r="V155" s="50">
        <v>0</v>
      </c>
      <c r="W155" s="50">
        <v>0</v>
      </c>
      <c r="X155" s="70" t="s">
        <v>112</v>
      </c>
      <c r="Y155" s="29">
        <v>-3.890616997935169E-5</v>
      </c>
      <c r="Z155" s="29">
        <v>0</v>
      </c>
      <c r="AA155" s="29">
        <v>0</v>
      </c>
      <c r="AB155" s="29">
        <v>-1.442964733491196E-2</v>
      </c>
    </row>
    <row r="156" spans="1:62" ht="15" customHeight="1">
      <c r="A156" s="313"/>
      <c r="B156" s="12" t="s">
        <v>79</v>
      </c>
      <c r="C156" s="31">
        <f>AC165+C152</f>
        <v>1201.5999999999999</v>
      </c>
      <c r="E156" s="4" t="s">
        <v>85</v>
      </c>
      <c r="F156" s="49">
        <f>E173/IF(H156=0,1000000000000,H156)+L153</f>
        <v>0</v>
      </c>
      <c r="G156" s="46" t="s">
        <v>8</v>
      </c>
      <c r="H156" s="29">
        <f>'CS_5 Bridge'!B29</f>
        <v>10004000000</v>
      </c>
      <c r="I156" s="4" t="s">
        <v>305</v>
      </c>
      <c r="J156" s="29">
        <v>1</v>
      </c>
      <c r="K156" s="4" t="s">
        <v>305</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0</v>
      </c>
      <c r="AA156" s="29">
        <v>0</v>
      </c>
      <c r="AB156" s="29">
        <v>0</v>
      </c>
    </row>
    <row r="157" spans="1:62" ht="15" customHeight="1">
      <c r="A157" s="313"/>
      <c r="B157" s="12" t="s">
        <v>80</v>
      </c>
      <c r="C157" s="31">
        <f>AC166+C153</f>
        <v>500</v>
      </c>
      <c r="E157" s="4" t="s">
        <v>86</v>
      </c>
      <c r="F157" s="49">
        <f t="shared" ref="F157:F158" si="36">E174/IF(H157=0,1000000000000,H157)+L154</f>
        <v>0</v>
      </c>
      <c r="G157" s="46" t="s">
        <v>120</v>
      </c>
      <c r="H157" s="29">
        <f>'CS_5 Bridge'!B30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c r="A158" s="313"/>
      <c r="B158" s="12" t="s">
        <v>81</v>
      </c>
      <c r="C158" s="31">
        <f>AC167+C154</f>
        <v>801.6</v>
      </c>
      <c r="E158" s="4" t="s">
        <v>87</v>
      </c>
      <c r="F158" s="49">
        <f t="shared" si="36"/>
        <v>-1.2011195521791283E-5</v>
      </c>
      <c r="G158" s="46" t="s">
        <v>116</v>
      </c>
      <c r="H158" s="29">
        <f>'CS_5 Bridge'!B31</f>
        <v>10004000000</v>
      </c>
      <c r="AB158" s="5"/>
      <c r="AU158" s="5" t="s">
        <v>67</v>
      </c>
      <c r="AZ158" s="5" t="s">
        <v>92</v>
      </c>
      <c r="BE158" s="5" t="s">
        <v>97</v>
      </c>
      <c r="BJ158" s="5" t="s">
        <v>97</v>
      </c>
    </row>
    <row r="159" spans="1:62" ht="30">
      <c r="A159" s="313"/>
      <c r="B159" s="69" t="s">
        <v>106</v>
      </c>
      <c r="E159" s="301" t="s">
        <v>294</v>
      </c>
      <c r="F159" s="315"/>
      <c r="G159" s="309" t="s">
        <v>293</v>
      </c>
      <c r="H159" s="310"/>
      <c r="I159" s="310"/>
      <c r="J159" s="310"/>
      <c r="K159" s="310"/>
      <c r="L159" s="311"/>
      <c r="M159" s="93" t="s">
        <v>295</v>
      </c>
      <c r="N159" s="84" t="s">
        <v>248</v>
      </c>
      <c r="AE159" s="45" t="s">
        <v>227</v>
      </c>
      <c r="AF159" s="91">
        <v>1E-3</v>
      </c>
      <c r="AG159" s="45"/>
      <c r="AH159" s="45"/>
      <c r="AI159" s="45"/>
      <c r="AJ159" s="45" t="s">
        <v>93</v>
      </c>
      <c r="AK159" s="92">
        <v>1E-3</v>
      </c>
      <c r="AL159" s="7"/>
      <c r="AM159" s="7"/>
      <c r="AN159" s="45"/>
      <c r="AO159" s="45" t="s">
        <v>226</v>
      </c>
      <c r="AP159" s="91">
        <v>1E-3</v>
      </c>
      <c r="AU159" s="7" t="s">
        <v>0</v>
      </c>
      <c r="AV159" s="7" t="s">
        <v>1</v>
      </c>
      <c r="AW159" s="7" t="s">
        <v>2</v>
      </c>
      <c r="AZ159" s="7" t="s">
        <v>0</v>
      </c>
      <c r="BA159" s="7" t="s">
        <v>1</v>
      </c>
      <c r="BB159" s="7" t="s">
        <v>2</v>
      </c>
      <c r="BE159" s="7" t="s">
        <v>0</v>
      </c>
      <c r="BF159" s="7" t="s">
        <v>1</v>
      </c>
      <c r="BG159" s="7" t="s">
        <v>2</v>
      </c>
    </row>
    <row r="160" spans="1:62" ht="15" customHeight="1">
      <c r="A160" s="313"/>
      <c r="B160" s="41" t="s">
        <v>100</v>
      </c>
      <c r="C160" s="43">
        <f t="array" ref="C160:C163">MMULT(O132:R135,E136:E139)</f>
        <v>0</v>
      </c>
      <c r="E160" s="46" t="s">
        <v>84</v>
      </c>
      <c r="F160" s="49">
        <f t="array" ref="F160:F165">MMULT(G160:L165,M160:M165)</f>
        <v>9.8426345078225373E-4</v>
      </c>
      <c r="G160" s="132">
        <f>'CS_5 Bridge'!G5</f>
        <v>9.918934000131239E-7</v>
      </c>
      <c r="H160" s="132">
        <f>'CS_5 Bridge'!H5</f>
        <v>0</v>
      </c>
      <c r="I160" s="132">
        <f>'CS_5 Bridge'!I5</f>
        <v>0</v>
      </c>
      <c r="J160" s="132">
        <f>'CS_5 Bridge'!J5</f>
        <v>0</v>
      </c>
      <c r="K160" s="132">
        <f>'CS_5 Bridge'!K5</f>
        <v>0</v>
      </c>
      <c r="L160" s="132">
        <f>'CS_5 Bridge'!L5</f>
        <v>-9.1559390770442208E-9</v>
      </c>
      <c r="M160" s="29">
        <f>C160</f>
        <v>0</v>
      </c>
      <c r="O160" s="7" t="s">
        <v>4</v>
      </c>
      <c r="P160" s="26" t="s">
        <v>5</v>
      </c>
      <c r="Q160" s="26" t="s">
        <v>6</v>
      </c>
      <c r="R160" s="26"/>
      <c r="S160" s="26"/>
      <c r="T160" s="26"/>
      <c r="U160" s="26"/>
      <c r="V160" s="26"/>
      <c r="W160" s="26"/>
      <c r="X160" s="26"/>
      <c r="Y160" s="26"/>
      <c r="Z160" s="26"/>
      <c r="AA160" s="26"/>
      <c r="AB160" t="s">
        <v>66</v>
      </c>
      <c r="AC160" s="29">
        <f>C145</f>
        <v>1201.5999999999999</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1201.5999999999999</v>
      </c>
      <c r="AV160" s="49">
        <f>AU160-$AC160</f>
        <v>0</v>
      </c>
      <c r="AW160" s="49">
        <f>AV160/AF159</f>
        <v>0</v>
      </c>
      <c r="AX160" s="80"/>
      <c r="AY160" s="29" t="s">
        <v>63</v>
      </c>
      <c r="AZ160" s="49">
        <f t="array" ref="AZ160:AZ163">MMULT(AJ160:AM163,$AC160:$AC163)</f>
        <v>1201.5993992000499</v>
      </c>
      <c r="BA160" s="49">
        <f>AZ160-$AC160</f>
        <v>-6.0079995000705821E-4</v>
      </c>
      <c r="BB160" s="49">
        <f>BA160/AK159</f>
        <v>-0.60079995000705821</v>
      </c>
      <c r="BC160" s="80"/>
      <c r="BD160" s="29" t="s">
        <v>63</v>
      </c>
      <c r="BE160" s="49">
        <f t="array" ref="BE160:BE163">MMULT(AO160:AR163,$AC160:$AC163)</f>
        <v>1201.0993992833833</v>
      </c>
      <c r="BF160" s="49">
        <f>BE160-$AC160</f>
        <v>-0.50060071661664551</v>
      </c>
      <c r="BG160" s="49">
        <f>BF160/AP159</f>
        <v>-500.60071661664551</v>
      </c>
    </row>
    <row r="161" spans="1:59">
      <c r="A161" s="313"/>
      <c r="B161" s="41" t="s">
        <v>101</v>
      </c>
      <c r="C161" s="43">
        <v>-100</v>
      </c>
      <c r="E161" s="46" t="s">
        <v>112</v>
      </c>
      <c r="F161" s="49">
        <v>-1.3906169979351685E-5</v>
      </c>
      <c r="G161" s="132">
        <f>'CS_5 Bridge'!G6</f>
        <v>0</v>
      </c>
      <c r="H161" s="132">
        <f>'CS_5 Bridge'!H6</f>
        <v>1.3906169979351685E-7</v>
      </c>
      <c r="I161" s="132">
        <f>'CS_5 Bridge'!I6</f>
        <v>0</v>
      </c>
      <c r="J161" s="132">
        <f>'CS_5 Bridge'!J6</f>
        <v>0</v>
      </c>
      <c r="K161" s="132">
        <f>'CS_5 Bridge'!K6</f>
        <v>0</v>
      </c>
      <c r="L161" s="132">
        <f>'CS_5 Bridge'!L6</f>
        <v>0</v>
      </c>
      <c r="M161" s="29">
        <f t="shared" ref="M161:M162" si="37">C161</f>
        <v>-100</v>
      </c>
      <c r="N161" s="46" t="s">
        <v>84</v>
      </c>
      <c r="O161" s="31">
        <f>AW160</f>
        <v>0</v>
      </c>
      <c r="P161" s="31">
        <f>BB160</f>
        <v>-0.60079995000705821</v>
      </c>
      <c r="Q161" s="31">
        <f>BG160</f>
        <v>-500.60071661664551</v>
      </c>
      <c r="AB161" t="s">
        <v>71</v>
      </c>
      <c r="AC161" s="29">
        <f>C146</f>
        <v>500</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499.99975000002081</v>
      </c>
      <c r="AV161" s="49">
        <f>AU161-$AC161</f>
        <v>-2.4999997918939698E-4</v>
      </c>
      <c r="AW161" s="49">
        <f>AV161/AF159</f>
        <v>-0.24999997918939698</v>
      </c>
      <c r="AX161" s="80"/>
      <c r="AY161" s="29" t="s">
        <v>64</v>
      </c>
      <c r="AZ161" s="49">
        <v>500</v>
      </c>
      <c r="BA161" s="49">
        <f>AZ161-$AC161</f>
        <v>0</v>
      </c>
      <c r="BB161" s="49">
        <f>BA161/AK159</f>
        <v>0</v>
      </c>
      <c r="BC161" s="80"/>
      <c r="BD161" s="29" t="s">
        <v>64</v>
      </c>
      <c r="BE161" s="49">
        <v>501.20134979975415</v>
      </c>
      <c r="BF161" s="49">
        <f>BE161-$AC161</f>
        <v>1.2013497997541549</v>
      </c>
      <c r="BG161" s="49">
        <f>BF161/AP159</f>
        <v>1201.3497997541549</v>
      </c>
    </row>
    <row r="162" spans="1:59">
      <c r="A162" s="313"/>
      <c r="B162" s="41" t="s">
        <v>102</v>
      </c>
      <c r="C162" s="43">
        <v>0</v>
      </c>
      <c r="E162" s="46" t="s">
        <v>113</v>
      </c>
      <c r="F162" s="49">
        <v>0</v>
      </c>
      <c r="G162" s="132">
        <f>'CS_5 Bridge'!G7</f>
        <v>0</v>
      </c>
      <c r="H162" s="132">
        <f>'CS_5 Bridge'!H7</f>
        <v>0</v>
      </c>
      <c r="I162" s="132">
        <f>'CS_5 Bridge'!I7</f>
        <v>9.918934000131239E-7</v>
      </c>
      <c r="J162" s="132">
        <f>'CS_5 Bridge'!J7</f>
        <v>2.7467817231132659E-8</v>
      </c>
      <c r="K162" s="132">
        <f>'CS_5 Bridge'!K7</f>
        <v>0</v>
      </c>
      <c r="L162" s="132">
        <f>'CS_5 Bridge'!L7</f>
        <v>0</v>
      </c>
      <c r="M162" s="29">
        <f t="shared" si="37"/>
        <v>0</v>
      </c>
      <c r="N162" s="46" t="s">
        <v>112</v>
      </c>
      <c r="O162" s="31">
        <f t="shared" ref="O162:O163" si="38">AW161</f>
        <v>-0.24999997918939698</v>
      </c>
      <c r="P162" s="31">
        <f t="shared" ref="P162:P163" si="39">BB161</f>
        <v>0</v>
      </c>
      <c r="Q162" s="31">
        <f t="shared" ref="Q162:Q163" si="40">BG161</f>
        <v>1201.3497997541549</v>
      </c>
      <c r="AB162" t="s">
        <v>72</v>
      </c>
      <c r="AC162" s="29">
        <f>C147</f>
        <v>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0.49999991666667082</v>
      </c>
      <c r="AV162" s="49">
        <f>AU162-$AC162</f>
        <v>0.49999991666667082</v>
      </c>
      <c r="AW162" s="49">
        <f>AV162/AF159</f>
        <v>499.9999166666708</v>
      </c>
      <c r="AX162" s="80"/>
      <c r="AY162" s="29" t="s">
        <v>65</v>
      </c>
      <c r="AZ162" s="49">
        <v>-1.2015997997333432</v>
      </c>
      <c r="BA162" s="49">
        <f>AZ162-$AC162</f>
        <v>-1.2015997997333432</v>
      </c>
      <c r="BB162" s="49">
        <f>BA162/AK159</f>
        <v>-1201.5997997333432</v>
      </c>
      <c r="BC162" s="80"/>
      <c r="BD162" s="29" t="s">
        <v>65</v>
      </c>
      <c r="BE162" s="49">
        <v>0</v>
      </c>
      <c r="BF162" s="49">
        <f>BE162-$AC162</f>
        <v>0</v>
      </c>
      <c r="BG162" s="49">
        <f>BF162/AP159</f>
        <v>0</v>
      </c>
    </row>
    <row r="163" spans="1:59" ht="15" customHeight="1">
      <c r="A163" s="313"/>
      <c r="B163" s="41" t="s">
        <v>108</v>
      </c>
      <c r="C163" s="43">
        <v>1</v>
      </c>
      <c r="E163" s="4" t="s">
        <v>85</v>
      </c>
      <c r="F163" s="49">
        <v>0</v>
      </c>
      <c r="G163" s="132">
        <f>'CS_5 Bridge'!G8</f>
        <v>0</v>
      </c>
      <c r="H163" s="132">
        <f>'CS_5 Bridge'!H8</f>
        <v>0</v>
      </c>
      <c r="I163" s="132">
        <f>'CS_5 Bridge'!I8</f>
        <v>2.7467817231132659E-8</v>
      </c>
      <c r="J163" s="132">
        <f>'CS_5 Bridge'!J8</f>
        <v>2.0718246757670576E-10</v>
      </c>
      <c r="K163" s="132">
        <f>'CS_5 Bridge'!K8</f>
        <v>0</v>
      </c>
      <c r="L163" s="132">
        <f>'CS_5 Bridge'!L8</f>
        <v>0</v>
      </c>
      <c r="M163" s="29">
        <f>C164</f>
        <v>0</v>
      </c>
      <c r="N163" s="46" t="s">
        <v>113</v>
      </c>
      <c r="O163" s="31">
        <f t="shared" si="38"/>
        <v>499.9999166666708</v>
      </c>
      <c r="P163" s="31">
        <f t="shared" si="39"/>
        <v>-1201.5997997333432</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c r="A164" s="313"/>
      <c r="B164" s="41" t="s">
        <v>103</v>
      </c>
      <c r="C164" s="43">
        <f t="array" ref="C164:C167">MMULT(O132:R135,E140:E143)</f>
        <v>0</v>
      </c>
      <c r="E164" s="4" t="s">
        <v>86</v>
      </c>
      <c r="F164" s="49">
        <v>0</v>
      </c>
      <c r="G164" s="132">
        <f>'CS_5 Bridge'!G9</f>
        <v>0</v>
      </c>
      <c r="H164" s="132">
        <f>'CS_5 Bridge'!H9</f>
        <v>0</v>
      </c>
      <c r="I164" s="132">
        <f>'CS_5 Bridge'!I9</f>
        <v>0</v>
      </c>
      <c r="J164" s="132">
        <f>'CS_5 Bridge'!J9</f>
        <v>0</v>
      </c>
      <c r="K164" s="132">
        <f>'CS_5 Bridge'!K9</f>
        <v>1.5414027088145461E-10</v>
      </c>
      <c r="L164" s="132">
        <f>'CS_5 Bridge'!L9</f>
        <v>0</v>
      </c>
      <c r="M164" s="29">
        <f>C165</f>
        <v>0</v>
      </c>
      <c r="O164" s="3" t="s">
        <v>82</v>
      </c>
      <c r="T164" s="3" t="s">
        <v>83</v>
      </c>
      <c r="AE164" t="s">
        <v>95</v>
      </c>
      <c r="AJ164" t="s">
        <v>94</v>
      </c>
      <c r="AO164" t="s">
        <v>96</v>
      </c>
    </row>
    <row r="165" spans="1:59" ht="15" customHeight="1">
      <c r="A165" s="313"/>
      <c r="B165" s="41" t="s">
        <v>104</v>
      </c>
      <c r="C165" s="43">
        <v>0</v>
      </c>
      <c r="E165" s="4" t="s">
        <v>87</v>
      </c>
      <c r="F165" s="49">
        <v>-2.2272115264495868E-5</v>
      </c>
      <c r="G165" s="132">
        <f>'CS_5 Bridge'!G10</f>
        <v>-9.1559390770442208E-9</v>
      </c>
      <c r="H165" s="132">
        <f>'CS_5 Bridge'!H10</f>
        <v>0</v>
      </c>
      <c r="I165" s="132">
        <f>'CS_5 Bridge'!I10</f>
        <v>0</v>
      </c>
      <c r="J165" s="132">
        <f>'CS_5 Bridge'!J10</f>
        <v>0</v>
      </c>
      <c r="K165" s="132">
        <f>'CS_5 Bridge'!K10</f>
        <v>0</v>
      </c>
      <c r="L165" s="132">
        <f>'CS_5 Bridge'!L10</f>
        <v>2.0718246757670576E-10</v>
      </c>
      <c r="M165" s="29">
        <f>C166</f>
        <v>-107500</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1201.5999999999999</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c r="A166" s="313"/>
      <c r="B166" s="41" t="s">
        <v>105</v>
      </c>
      <c r="C166" s="43">
        <v>-107500</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500</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c r="A167" s="313"/>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c r="A168" s="313"/>
      <c r="B168" s="77" t="s">
        <v>183</v>
      </c>
      <c r="C168"/>
      <c r="D168" s="89" t="s">
        <v>246</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c r="A169" s="313"/>
      <c r="B169" s="41" t="s">
        <v>100</v>
      </c>
      <c r="C169" s="42">
        <v>0</v>
      </c>
      <c r="D169" s="41" t="s">
        <v>100</v>
      </c>
      <c r="E169" s="43">
        <f>C160+C169</f>
        <v>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c r="A170" s="313"/>
      <c r="B170" s="41" t="s">
        <v>101</v>
      </c>
      <c r="C170" s="42">
        <v>0</v>
      </c>
      <c r="D170" s="41" t="s">
        <v>101</v>
      </c>
      <c r="E170" s="43">
        <f>C161+C170</f>
        <v>-100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c r="A171" s="313"/>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c r="A172" s="313"/>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c r="A173" s="313"/>
      <c r="B173" s="41" t="s">
        <v>103</v>
      </c>
      <c r="C173" s="42">
        <v>0</v>
      </c>
      <c r="D173" s="41" t="s">
        <v>103</v>
      </c>
      <c r="E173" s="43">
        <f>C164+C173+C162*C120-C161*C121</f>
        <v>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c r="A174" s="313"/>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c r="A175" s="313"/>
      <c r="B175" s="41" t="s">
        <v>105</v>
      </c>
      <c r="C175" s="42">
        <v>0</v>
      </c>
      <c r="D175" s="41" t="s">
        <v>105</v>
      </c>
      <c r="E175" s="43">
        <f>C166+C175+C161*C119-C160*C120</f>
        <v>-120160</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 thickBot="1">
      <c r="A176" s="314"/>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c r="A177" s="316" t="s">
        <v>328</v>
      </c>
      <c r="B177" s="68" t="s">
        <v>250</v>
      </c>
      <c r="E177" s="1" t="s">
        <v>145</v>
      </c>
    </row>
    <row r="178" spans="1:62" ht="15" customHeight="1">
      <c r="A178" s="316"/>
      <c r="B178" s="12" t="s">
        <v>73</v>
      </c>
      <c r="C178" s="56">
        <f>C156</f>
        <v>1201.5999999999999</v>
      </c>
      <c r="E178" s="301" t="s">
        <v>138</v>
      </c>
      <c r="F178" s="301"/>
      <c r="G178" s="301" t="s">
        <v>139</v>
      </c>
      <c r="H178" s="301"/>
      <c r="N178" s="34" t="s">
        <v>98</v>
      </c>
      <c r="O178" s="1"/>
      <c r="P178" s="67"/>
      <c r="Q178" s="1"/>
      <c r="R178" s="1"/>
      <c r="S178" s="34" t="s">
        <v>136</v>
      </c>
      <c r="Y178" s="94" t="s">
        <v>297</v>
      </c>
    </row>
    <row r="179" spans="1:62" ht="15" customHeight="1">
      <c r="A179" s="316"/>
      <c r="B179" s="12" t="s">
        <v>74</v>
      </c>
      <c r="C179" s="56">
        <f>C157</f>
        <v>500</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c r="A180" s="316"/>
      <c r="B180" s="12" t="s">
        <v>75</v>
      </c>
      <c r="C180" s="56">
        <f>C158</f>
        <v>801.6</v>
      </c>
      <c r="E180" s="46" t="s">
        <v>112</v>
      </c>
      <c r="F180" s="48">
        <f>'CS_6 X-axis'!B46</f>
        <v>5.0000000000000001E-3</v>
      </c>
      <c r="G180" s="46" t="s">
        <v>112</v>
      </c>
      <c r="H180" s="48">
        <f>'CS_6 X-axis'!B53</f>
        <v>0</v>
      </c>
      <c r="N180" s="46" t="s">
        <v>84</v>
      </c>
      <c r="O180" s="50">
        <f>ABS(F179)</f>
        <v>5.0000000000000001E-3</v>
      </c>
      <c r="P180" s="50">
        <f>ABS(F182*O194)</f>
        <v>0</v>
      </c>
      <c r="Q180" s="50">
        <f>ABS(F183*P194)</f>
        <v>8.0099905844001368E-2</v>
      </c>
      <c r="R180" s="50">
        <f>ABS(F184*Q194)</f>
        <v>5.0060071661664589E-2</v>
      </c>
      <c r="S180" s="46" t="s">
        <v>84</v>
      </c>
      <c r="T180" s="49">
        <f t="array" ref="T180:W183">ABS(MMULT(T198:W201,O180:R183))</f>
        <v>5.0000000000000001E-3</v>
      </c>
      <c r="U180" s="49">
        <v>0</v>
      </c>
      <c r="V180" s="49">
        <v>8.0099905844001368E-2</v>
      </c>
      <c r="W180" s="49">
        <v>5.0060071661664589E-2</v>
      </c>
      <c r="X180" s="70" t="s">
        <v>84</v>
      </c>
      <c r="Y180" s="49">
        <f>F186+F193</f>
        <v>0</v>
      </c>
      <c r="Z180" s="29">
        <f>F189*O194</f>
        <v>0</v>
      </c>
      <c r="AA180" s="29">
        <f>F190*P194</f>
        <v>0</v>
      </c>
      <c r="AB180" s="29">
        <f>F191*Q194</f>
        <v>9.10735495446959E-3</v>
      </c>
    </row>
    <row r="181" spans="1:62" ht="15" customHeight="1">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8.0184986637920078E-2</v>
      </c>
      <c r="Q181" s="50">
        <f>ABS(F183*P195)</f>
        <v>0</v>
      </c>
      <c r="R181" s="50">
        <f>ABS(F184*Q195)</f>
        <v>0.12013497997541557</v>
      </c>
      <c r="S181" s="46" t="s">
        <v>112</v>
      </c>
      <c r="T181" s="49">
        <v>5.0000000000000001E-3</v>
      </c>
      <c r="U181" s="49">
        <v>8.0184986637920078E-2</v>
      </c>
      <c r="V181" s="49">
        <v>0</v>
      </c>
      <c r="W181" s="49">
        <v>0.12013497997541557</v>
      </c>
      <c r="X181" s="70" t="s">
        <v>112</v>
      </c>
      <c r="Y181" s="49">
        <f t="shared" ref="Y181:Y182" si="42">F187+F194</f>
        <v>-7.4323634186467674E-4</v>
      </c>
      <c r="Z181" s="29">
        <f>F189*O195</f>
        <v>-9.350127871836594E-3</v>
      </c>
      <c r="AA181" s="29">
        <f>F190*P195</f>
        <v>0</v>
      </c>
      <c r="AB181" s="29">
        <f>F191*Q195</f>
        <v>-2.1855979601444798E-2</v>
      </c>
    </row>
    <row r="182" spans="1:62" ht="15" customHeight="1">
      <c r="A182" s="43">
        <f>IF(A181&gt;Naxes,0,1)</f>
        <v>0</v>
      </c>
      <c r="B182" s="2" t="s">
        <v>177</v>
      </c>
      <c r="C182" s="37">
        <v>0</v>
      </c>
      <c r="E182" s="4" t="s">
        <v>85</v>
      </c>
      <c r="F182" s="48">
        <f>'CS_6 X-axis'!B48</f>
        <v>1.0000000000000007E-4</v>
      </c>
      <c r="G182" s="4" t="s">
        <v>85</v>
      </c>
      <c r="H182" s="48">
        <f>'CS_6 X-axis'!B55</f>
        <v>0</v>
      </c>
      <c r="N182" s="46" t="s">
        <v>113</v>
      </c>
      <c r="O182" s="50">
        <f t="shared" si="41"/>
        <v>5.0000000000000001E-3</v>
      </c>
      <c r="P182" s="50">
        <f>ABS(F182*O196)</f>
        <v>4.9959911670009696E-2</v>
      </c>
      <c r="Q182" s="50">
        <f>ABS(F183*P196)</f>
        <v>0.1202000587679881</v>
      </c>
      <c r="R182" s="50">
        <f>ABS(F184*Q196)</f>
        <v>0</v>
      </c>
      <c r="S182" s="46" t="s">
        <v>113</v>
      </c>
      <c r="T182" s="49">
        <v>5.0000000000000001E-3</v>
      </c>
      <c r="U182" s="49">
        <v>4.9959911670009696E-2</v>
      </c>
      <c r="V182" s="49">
        <v>0.1202000587679881</v>
      </c>
      <c r="W182" s="49">
        <v>0</v>
      </c>
      <c r="X182" s="70" t="s">
        <v>113</v>
      </c>
      <c r="Y182" s="49">
        <f t="shared" si="42"/>
        <v>0</v>
      </c>
      <c r="Z182" s="29">
        <f>F189*O196</f>
        <v>5.8256736350111461E-3</v>
      </c>
      <c r="AA182" s="29">
        <f>F190*P196</f>
        <v>0</v>
      </c>
      <c r="AB182" s="29">
        <f>F191*Q196</f>
        <v>0</v>
      </c>
    </row>
    <row r="183" spans="1:62" ht="15" customHeight="1">
      <c r="A183" s="318"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c r="A184" s="318"/>
      <c r="B184" s="2" t="s">
        <v>178</v>
      </c>
      <c r="C184" s="37">
        <v>0</v>
      </c>
      <c r="E184" s="4" t="s">
        <v>87</v>
      </c>
      <c r="F184" s="48">
        <f>'CS_6 X-axis'!B50</f>
        <v>1.0000000000000007E-4</v>
      </c>
      <c r="G184" s="4" t="s">
        <v>87</v>
      </c>
      <c r="H184" s="48">
        <f>'CS_6 X-axis'!B57</f>
        <v>0</v>
      </c>
      <c r="X184" s="6"/>
    </row>
    <row r="185" spans="1:62" ht="30" customHeight="1">
      <c r="A185" s="318"/>
      <c r="B185" s="2" t="s">
        <v>245</v>
      </c>
      <c r="C185" s="37">
        <f>-(C13+C20+C53+C86+C119+C152)</f>
        <v>-1201.5999999999999</v>
      </c>
      <c r="E185" s="299" t="s">
        <v>303</v>
      </c>
      <c r="F185" s="299"/>
      <c r="G185" s="301" t="s">
        <v>251</v>
      </c>
      <c r="H185" s="301"/>
      <c r="I185" s="299" t="s">
        <v>306</v>
      </c>
      <c r="J185" s="299"/>
      <c r="K185" s="299" t="s">
        <v>304</v>
      </c>
      <c r="L185" s="299"/>
      <c r="N185" s="34" t="s">
        <v>99</v>
      </c>
      <c r="O185" s="1"/>
      <c r="P185" s="67"/>
      <c r="Q185" s="1"/>
      <c r="R185" s="1"/>
      <c r="S185" s="34" t="s">
        <v>137</v>
      </c>
      <c r="X185" s="6"/>
      <c r="Y185" s="94" t="s">
        <v>296</v>
      </c>
    </row>
    <row r="186" spans="1:62" ht="15" customHeight="1">
      <c r="A186" s="318"/>
      <c r="B186" s="2" t="s">
        <v>77</v>
      </c>
      <c r="C186" s="37">
        <f t="shared" ref="C186:C187" si="43">-(C14+C21+C54+C87+C120+C153)</f>
        <v>-500</v>
      </c>
      <c r="E186" s="46" t="s">
        <v>84</v>
      </c>
      <c r="F186" s="49">
        <f>E202/IF(H186=0,1000000000000,H186)</f>
        <v>0</v>
      </c>
      <c r="G186" s="4" t="s">
        <v>117</v>
      </c>
      <c r="H186" s="29">
        <f>'CS_6 X-axis'!B25</f>
        <v>72722.052166430396</v>
      </c>
      <c r="I186" s="4" t="s">
        <v>85</v>
      </c>
      <c r="J186" s="49">
        <f>A215*F229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c r="A187" s="312" t="s">
        <v>370</v>
      </c>
      <c r="B187" s="2" t="s">
        <v>107</v>
      </c>
      <c r="C187" s="37">
        <f t="shared" si="43"/>
        <v>-801.6</v>
      </c>
      <c r="E187" s="46" t="s">
        <v>112</v>
      </c>
      <c r="F187" s="49">
        <f t="shared" ref="F187:F188" si="44">E203/IF(H187=0,1000000000000,H187)</f>
        <v>-3.8639876352395674E-5</v>
      </c>
      <c r="G187" s="4" t="s">
        <v>118</v>
      </c>
      <c r="H187" s="29">
        <f>'CS_6 X-axis'!B26</f>
        <v>2588000</v>
      </c>
      <c r="I187" s="4" t="s">
        <v>86</v>
      </c>
      <c r="J187" s="49">
        <f>A215*F230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0</v>
      </c>
      <c r="Z187" s="29">
        <f t="array" ref="Z187:Z190">MMULT(T198:W201,Z180:Z183)</f>
        <v>0</v>
      </c>
      <c r="AA187" s="29">
        <f t="array" ref="AA187:AA190">MMULT(T198:W201,AA180:AA183)</f>
        <v>0</v>
      </c>
      <c r="AB187" s="29">
        <f t="array" ref="AB187:AB190">MMULT(T198:W201,AB180:AB183)</f>
        <v>9.10735495446959E-3</v>
      </c>
    </row>
    <row r="188" spans="1:62" ht="15" customHeight="1">
      <c r="A188" s="313"/>
      <c r="B188" s="34" t="s">
        <v>78</v>
      </c>
      <c r="E188" s="46" t="s">
        <v>113</v>
      </c>
      <c r="F188" s="49">
        <f t="shared" si="44"/>
        <v>0</v>
      </c>
      <c r="G188" s="4" t="s">
        <v>119</v>
      </c>
      <c r="H188" s="29">
        <f>'CS_6 X-axis'!B27</f>
        <v>2588000</v>
      </c>
      <c r="I188" s="4" t="s">
        <v>87</v>
      </c>
      <c r="J188" s="49">
        <f>A215*F231</f>
        <v>0</v>
      </c>
      <c r="K188" s="4" t="s">
        <v>87</v>
      </c>
      <c r="L188" s="139">
        <v>0</v>
      </c>
      <c r="N188" s="46" t="s">
        <v>112</v>
      </c>
      <c r="O188" s="50">
        <f>H180</f>
        <v>0</v>
      </c>
      <c r="P188" s="50">
        <f>H182*O195</f>
        <v>0</v>
      </c>
      <c r="Q188" s="50">
        <f>H183*P195</f>
        <v>0</v>
      </c>
      <c r="R188" s="50">
        <f>H184*Q195</f>
        <v>0</v>
      </c>
      <c r="S188" s="46" t="s">
        <v>112</v>
      </c>
      <c r="T188" s="50">
        <v>0</v>
      </c>
      <c r="U188" s="50">
        <v>0</v>
      </c>
      <c r="V188" s="50">
        <v>0</v>
      </c>
      <c r="W188" s="50">
        <v>0</v>
      </c>
      <c r="X188" s="70" t="s">
        <v>112</v>
      </c>
      <c r="Y188" s="29">
        <v>-7.4323634186467674E-4</v>
      </c>
      <c r="Z188" s="29">
        <v>-9.350127871836594E-3</v>
      </c>
      <c r="AA188" s="29">
        <v>0</v>
      </c>
      <c r="AB188" s="29">
        <v>-2.1855979601444798E-2</v>
      </c>
    </row>
    <row r="189" spans="1:62" ht="15" customHeight="1">
      <c r="A189" s="313"/>
      <c r="B189" s="12" t="s">
        <v>79</v>
      </c>
      <c r="C189" s="31">
        <f>AC198+C185</f>
        <v>0</v>
      </c>
      <c r="E189" s="4" t="s">
        <v>85</v>
      </c>
      <c r="F189" s="49">
        <f>E206/IF(H189=0,1000000000000,H189)+L186</f>
        <v>1.1660696426947905E-5</v>
      </c>
      <c r="G189" s="46" t="s">
        <v>8</v>
      </c>
      <c r="H189" s="29">
        <f>'CS_6 X-axis'!B29</f>
        <v>6874375000</v>
      </c>
      <c r="I189" s="4" t="s">
        <v>305</v>
      </c>
      <c r="J189" s="29">
        <v>1</v>
      </c>
      <c r="K189" s="4" t="s">
        <v>305</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5.8256736350111461E-3</v>
      </c>
      <c r="AA189" s="29">
        <v>0</v>
      </c>
      <c r="AB189" s="29">
        <v>0</v>
      </c>
    </row>
    <row r="190" spans="1:62" ht="15" customHeight="1">
      <c r="A190" s="313"/>
      <c r="B190" s="12" t="s">
        <v>80</v>
      </c>
      <c r="C190" s="31">
        <f>AC199+C186</f>
        <v>0</v>
      </c>
      <c r="E190" s="4" t="s">
        <v>86</v>
      </c>
      <c r="F190" s="49">
        <f t="shared" ref="F190:F191" si="45">E207/IF(H190=0,1000000000000,H190)+L187</f>
        <v>0</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c r="A191" s="313"/>
      <c r="B191" s="12" t="s">
        <v>81</v>
      </c>
      <c r="C191" s="31">
        <f>AC200+C187</f>
        <v>0</v>
      </c>
      <c r="E191" s="4" t="s">
        <v>87</v>
      </c>
      <c r="F191" s="49">
        <f t="shared" si="45"/>
        <v>-1.8192852411443712E-5</v>
      </c>
      <c r="G191" s="46" t="s">
        <v>116</v>
      </c>
      <c r="H191" s="29">
        <f>'CS_6 X-axis'!B31</f>
        <v>6604791666.666667</v>
      </c>
      <c r="AB191" s="5"/>
      <c r="AU191" s="5" t="s">
        <v>67</v>
      </c>
      <c r="AZ191" s="5" t="s">
        <v>92</v>
      </c>
      <c r="BE191" s="5" t="s">
        <v>97</v>
      </c>
      <c r="BJ191" s="5" t="s">
        <v>97</v>
      </c>
    </row>
    <row r="192" spans="1:62" ht="30">
      <c r="A192" s="313"/>
      <c r="B192" s="69" t="s">
        <v>106</v>
      </c>
      <c r="E192" s="301" t="s">
        <v>294</v>
      </c>
      <c r="F192" s="315"/>
      <c r="G192" s="309" t="s">
        <v>293</v>
      </c>
      <c r="H192" s="310"/>
      <c r="I192" s="310"/>
      <c r="J192" s="310"/>
      <c r="K192" s="310"/>
      <c r="L192" s="311"/>
      <c r="M192" s="93" t="s">
        <v>295</v>
      </c>
      <c r="N192" s="84" t="s">
        <v>248</v>
      </c>
      <c r="AE192" s="45" t="s">
        <v>227</v>
      </c>
      <c r="AF192" s="91">
        <v>1E-3</v>
      </c>
      <c r="AG192" s="45"/>
      <c r="AH192" s="45"/>
      <c r="AI192" s="45"/>
      <c r="AJ192" s="45" t="s">
        <v>93</v>
      </c>
      <c r="AK192" s="92">
        <v>1E-3</v>
      </c>
      <c r="AL192" s="7"/>
      <c r="AM192" s="7"/>
      <c r="AN192" s="45"/>
      <c r="AO192" s="45" t="s">
        <v>226</v>
      </c>
      <c r="AP192" s="91">
        <v>1E-3</v>
      </c>
      <c r="AU192" s="7" t="s">
        <v>0</v>
      </c>
      <c r="AV192" s="7" t="s">
        <v>1</v>
      </c>
      <c r="AW192" s="7" t="s">
        <v>2</v>
      </c>
      <c r="AZ192" s="7" t="s">
        <v>0</v>
      </c>
      <c r="BA192" s="7" t="s">
        <v>1</v>
      </c>
      <c r="BB192" s="7" t="s">
        <v>2</v>
      </c>
      <c r="BE192" s="7" t="s">
        <v>0</v>
      </c>
      <c r="BF192" s="7" t="s">
        <v>1</v>
      </c>
      <c r="BG192" s="7" t="s">
        <v>2</v>
      </c>
    </row>
    <row r="193" spans="1:59" ht="15" customHeight="1">
      <c r="A193" s="313"/>
      <c r="B193" s="41" t="s">
        <v>100</v>
      </c>
      <c r="C193" s="43">
        <f t="array" ref="C193:C196">MMULT(O165:R168,E169:E172)</f>
        <v>0</v>
      </c>
      <c r="E193" s="46" t="s">
        <v>84</v>
      </c>
      <c r="F193" s="49">
        <f t="array" ref="F193:F198">MMULT(G193:L198,M193:M198)</f>
        <v>0</v>
      </c>
      <c r="G193" s="132">
        <f>'CS_6 X-axis'!G5</f>
        <v>7.0459646551228115E-6</v>
      </c>
      <c r="H193" s="132">
        <f>'CS_6 X-axis'!H5</f>
        <v>0</v>
      </c>
      <c r="I193" s="132">
        <f>'CS_6 X-axis'!I5</f>
        <v>0</v>
      </c>
      <c r="J193" s="132">
        <f>'CS_6 X-axis'!J5</f>
        <v>0</v>
      </c>
      <c r="K193" s="132">
        <f>'CS_6 X-axis'!K5</f>
        <v>-1.5098495689548882E-8</v>
      </c>
      <c r="L193" s="132">
        <f>'CS_6 X-axis'!L5</f>
        <v>0</v>
      </c>
      <c r="M193" s="29">
        <f>C193</f>
        <v>0</v>
      </c>
      <c r="O193" s="7" t="s">
        <v>4</v>
      </c>
      <c r="P193" s="26" t="s">
        <v>5</v>
      </c>
      <c r="Q193" s="26" t="s">
        <v>6</v>
      </c>
      <c r="R193" s="26"/>
      <c r="S193" s="26"/>
      <c r="T193" s="26"/>
      <c r="U193" s="26"/>
      <c r="V193" s="26"/>
      <c r="W193" s="26"/>
      <c r="X193" s="26"/>
      <c r="Y193" s="26"/>
      <c r="Z193" s="26"/>
      <c r="AA193" s="26"/>
      <c r="AB193" t="s">
        <v>66</v>
      </c>
      <c r="AC193" s="29">
        <f>C178</f>
        <v>1201.5999999999999</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1201.5999999999999</v>
      </c>
      <c r="AV193" s="49">
        <f>AU193-$AC193</f>
        <v>0</v>
      </c>
      <c r="AW193" s="49">
        <f>AV193/AF192</f>
        <v>0</v>
      </c>
      <c r="AX193" s="80"/>
      <c r="AY193" s="29" t="s">
        <v>63</v>
      </c>
      <c r="AZ193" s="49">
        <f t="array" ref="AZ193:AZ196">MMULT(AJ193:AM196,$AC193:$AC196)</f>
        <v>1202.4009990664499</v>
      </c>
      <c r="BA193" s="49">
        <f>AZ193-$AC193</f>
        <v>0.80099906645000374</v>
      </c>
      <c r="BB193" s="49">
        <f>BA193/AK192</f>
        <v>800.99906645000374</v>
      </c>
      <c r="BC193" s="80"/>
      <c r="BD193" s="29" t="s">
        <v>63</v>
      </c>
      <c r="BE193" s="49">
        <f t="array" ref="BE193:BE196">MMULT(AO193:AR196,$AC193:$AC196)</f>
        <v>1201.0993992833833</v>
      </c>
      <c r="BF193" s="49">
        <f>BE193-$AC193</f>
        <v>-0.50060071661664551</v>
      </c>
      <c r="BG193" s="49">
        <f>BF193/AP192</f>
        <v>-500.60071661664551</v>
      </c>
    </row>
    <row r="194" spans="1:59">
      <c r="A194" s="313"/>
      <c r="B194" s="41" t="s">
        <v>101</v>
      </c>
      <c r="C194" s="43">
        <v>-100</v>
      </c>
      <c r="E194" s="46" t="s">
        <v>112</v>
      </c>
      <c r="F194" s="49">
        <v>-7.0459646551228111E-4</v>
      </c>
      <c r="G194" s="132">
        <f>'CS_6 X-axis'!G6</f>
        <v>0</v>
      </c>
      <c r="H194" s="132">
        <f>'CS_6 X-axis'!H6</f>
        <v>7.0459646551228115E-6</v>
      </c>
      <c r="I194" s="132">
        <f>'CS_6 X-axis'!I6</f>
        <v>0</v>
      </c>
      <c r="J194" s="132">
        <f>'CS_6 X-axis'!J6</f>
        <v>-1.5098495689548882E-8</v>
      </c>
      <c r="K194" s="132">
        <f>'CS_6 X-axis'!K6</f>
        <v>0</v>
      </c>
      <c r="L194" s="132">
        <f>'CS_6 X-axis'!L6</f>
        <v>0</v>
      </c>
      <c r="M194" s="29">
        <f t="shared" ref="M194:M195" si="46">C194</f>
        <v>-100</v>
      </c>
      <c r="N194" s="46" t="s">
        <v>84</v>
      </c>
      <c r="O194" s="31">
        <f>AW193</f>
        <v>0</v>
      </c>
      <c r="P194" s="31">
        <f>BB193</f>
        <v>800.99906645000374</v>
      </c>
      <c r="Q194" s="31">
        <f>BG193</f>
        <v>-500.60071661664551</v>
      </c>
      <c r="AB194" t="s">
        <v>71</v>
      </c>
      <c r="AC194" s="29">
        <f>C179</f>
        <v>500</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499.1981501336208</v>
      </c>
      <c r="AV194" s="49">
        <f>AU194-$AC194</f>
        <v>-0.80184986637920019</v>
      </c>
      <c r="AW194" s="49">
        <f>AV194/AF192</f>
        <v>-801.84986637920019</v>
      </c>
      <c r="AX194" s="80"/>
      <c r="AY194" s="29" t="s">
        <v>64</v>
      </c>
      <c r="AZ194" s="49">
        <v>500</v>
      </c>
      <c r="BA194" s="49">
        <f>AZ194-$AC194</f>
        <v>0</v>
      </c>
      <c r="BB194" s="49">
        <f>BA194/AK192</f>
        <v>0</v>
      </c>
      <c r="BC194" s="80"/>
      <c r="BD194" s="29" t="s">
        <v>64</v>
      </c>
      <c r="BE194" s="49">
        <v>501.20134979975415</v>
      </c>
      <c r="BF194" s="49">
        <f>BE194-$AC194</f>
        <v>1.2013497997541549</v>
      </c>
      <c r="BG194" s="49">
        <f>BF194/AP192</f>
        <v>1201.3497997541549</v>
      </c>
    </row>
    <row r="195" spans="1:59">
      <c r="A195" s="313"/>
      <c r="B195" s="41" t="s">
        <v>102</v>
      </c>
      <c r="C195" s="43">
        <v>0</v>
      </c>
      <c r="E195" s="46" t="s">
        <v>113</v>
      </c>
      <c r="F195" s="49">
        <v>0</v>
      </c>
      <c r="G195" s="132">
        <f>'CS_6 X-axis'!G7</f>
        <v>0</v>
      </c>
      <c r="H195" s="132">
        <f>'CS_6 X-axis'!H7</f>
        <v>0</v>
      </c>
      <c r="I195" s="132">
        <f>'CS_6 X-axis'!I7</f>
        <v>2.6207781884162787E-7</v>
      </c>
      <c r="J195" s="132">
        <f>'CS_6 X-axis'!J7</f>
        <v>0</v>
      </c>
      <c r="K195" s="132">
        <f>'CS_6 X-axis'!K7</f>
        <v>0</v>
      </c>
      <c r="L195" s="132">
        <f>'CS_6 X-axis'!L7</f>
        <v>0</v>
      </c>
      <c r="M195" s="29">
        <f t="shared" si="46"/>
        <v>0</v>
      </c>
      <c r="N195" s="46" t="s">
        <v>112</v>
      </c>
      <c r="O195" s="31">
        <f t="shared" ref="O195:O196" si="47">AW194</f>
        <v>-801.84986637920019</v>
      </c>
      <c r="P195" s="31">
        <f t="shared" ref="P195:P196" si="48">BB194</f>
        <v>0</v>
      </c>
      <c r="Q195" s="31">
        <f t="shared" ref="Q195:Q196" si="49">BG194</f>
        <v>1201.3497997541549</v>
      </c>
      <c r="AB195" t="s">
        <v>72</v>
      </c>
      <c r="AC195" s="29">
        <f>C180</f>
        <v>801.6</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802.09959911670012</v>
      </c>
      <c r="AV195" s="49">
        <f>AU195-$AC195</f>
        <v>0.4995991167000966</v>
      </c>
      <c r="AW195" s="49">
        <f>AV195/AF192</f>
        <v>499.5991167000966</v>
      </c>
      <c r="AX195" s="80"/>
      <c r="AY195" s="29" t="s">
        <v>65</v>
      </c>
      <c r="AZ195" s="49">
        <v>800.39799940030014</v>
      </c>
      <c r="BA195" s="49">
        <f>AZ195-$AC195</f>
        <v>-1.2020005996998862</v>
      </c>
      <c r="BB195" s="49">
        <f>BA195/AK192</f>
        <v>-1202.0005996998862</v>
      </c>
      <c r="BC195" s="80"/>
      <c r="BD195" s="29" t="s">
        <v>65</v>
      </c>
      <c r="BE195" s="49">
        <v>801.6</v>
      </c>
      <c r="BF195" s="49">
        <f>BE195-$AC195</f>
        <v>0</v>
      </c>
      <c r="BG195" s="49">
        <f>BF195/AP192</f>
        <v>0</v>
      </c>
    </row>
    <row r="196" spans="1:59" ht="15" customHeight="1">
      <c r="A196" s="313"/>
      <c r="B196" s="41" t="s">
        <v>108</v>
      </c>
      <c r="C196" s="43">
        <v>1</v>
      </c>
      <c r="E196" s="4" t="s">
        <v>85</v>
      </c>
      <c r="F196" s="49">
        <v>1.5098495689548881E-6</v>
      </c>
      <c r="G196" s="132">
        <f>'CS_6 X-axis'!G8</f>
        <v>0</v>
      </c>
      <c r="H196" s="132">
        <f>'CS_6 X-axis'!H8</f>
        <v>-1.5098495689548882E-8</v>
      </c>
      <c r="I196" s="132">
        <f>'CS_6 X-axis'!I8</f>
        <v>0</v>
      </c>
      <c r="J196" s="132">
        <f>'CS_6 X-axis'!J8</f>
        <v>2.6742634575676315E-13</v>
      </c>
      <c r="K196" s="132">
        <f>'CS_6 X-axis'!K8</f>
        <v>0</v>
      </c>
      <c r="L196" s="132">
        <f>'CS_6 X-axis'!L8</f>
        <v>0</v>
      </c>
      <c r="M196" s="29">
        <f>C197</f>
        <v>0</v>
      </c>
      <c r="N196" s="46" t="s">
        <v>113</v>
      </c>
      <c r="O196" s="31">
        <f t="shared" si="47"/>
        <v>499.5991167000966</v>
      </c>
      <c r="P196" s="31">
        <f t="shared" si="48"/>
        <v>-1202.0005996998862</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c r="A197" s="313"/>
      <c r="B197" s="41" t="s">
        <v>103</v>
      </c>
      <c r="C197" s="43">
        <f t="array" ref="C197:C200">MMULT(O165:R168,E173:E176)</f>
        <v>0</v>
      </c>
      <c r="E197" s="4" t="s">
        <v>86</v>
      </c>
      <c r="F197" s="49">
        <v>0</v>
      </c>
      <c r="G197" s="132">
        <f>'CS_6 X-axis'!G9</f>
        <v>-1.5098495689548882E-8</v>
      </c>
      <c r="H197" s="132">
        <f>'CS_6 X-axis'!H9</f>
        <v>0</v>
      </c>
      <c r="I197" s="132">
        <f>'CS_6 X-axis'!I9</f>
        <v>0</v>
      </c>
      <c r="J197" s="132">
        <f>'CS_6 X-axis'!J9</f>
        <v>0</v>
      </c>
      <c r="K197" s="132">
        <f>'CS_6 X-axis'!K9</f>
        <v>4.3138559112996808E-11</v>
      </c>
      <c r="L197" s="132">
        <f>'CS_6 X-axis'!L9</f>
        <v>0</v>
      </c>
      <c r="M197" s="29">
        <f>C198</f>
        <v>0</v>
      </c>
      <c r="O197" s="3" t="s">
        <v>82</v>
      </c>
      <c r="T197" s="3" t="s">
        <v>83</v>
      </c>
      <c r="AE197" t="s">
        <v>95</v>
      </c>
      <c r="AJ197" t="s">
        <v>94</v>
      </c>
      <c r="AO197" t="s">
        <v>96</v>
      </c>
    </row>
    <row r="198" spans="1:59" ht="15" customHeight="1">
      <c r="A198" s="313"/>
      <c r="B198" s="41" t="s">
        <v>104</v>
      </c>
      <c r="C198" s="43">
        <v>0</v>
      </c>
      <c r="E198" s="4" t="s">
        <v>87</v>
      </c>
      <c r="F198" s="49">
        <v>-8.2542041417647742E-7</v>
      </c>
      <c r="G198" s="132">
        <f>'CS_6 X-axis'!G10</f>
        <v>0</v>
      </c>
      <c r="H198" s="132">
        <f>'CS_6 X-axis'!H10</f>
        <v>0</v>
      </c>
      <c r="I198" s="132">
        <f>'CS_6 X-axis'!I10</f>
        <v>0</v>
      </c>
      <c r="J198" s="132">
        <f>'CS_6 X-axis'!J10</f>
        <v>0</v>
      </c>
      <c r="K198" s="132">
        <f>'CS_6 X-axis'!K10</f>
        <v>0</v>
      </c>
      <c r="L198" s="132">
        <f>'CS_6 X-axis'!L10</f>
        <v>6.8693443257030413E-12</v>
      </c>
      <c r="M198" s="29">
        <f>C199</f>
        <v>-120160</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1201.5999999999999</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c r="A199" s="313"/>
      <c r="B199" s="41" t="s">
        <v>105</v>
      </c>
      <c r="C199" s="43">
        <v>-120160</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500</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c r="A200" s="313"/>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801.6</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c r="A201" s="313"/>
      <c r="B201" s="77" t="s">
        <v>183</v>
      </c>
      <c r="C201"/>
      <c r="D201" s="89" t="s">
        <v>246</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c r="A202" s="313"/>
      <c r="B202" s="41" t="s">
        <v>100</v>
      </c>
      <c r="C202" s="42">
        <v>0</v>
      </c>
      <c r="D202" s="41" t="s">
        <v>100</v>
      </c>
      <c r="E202" s="43">
        <f>C193+C202</f>
        <v>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c r="A203" s="313"/>
      <c r="B203" s="41" t="s">
        <v>101</v>
      </c>
      <c r="C203" s="42">
        <v>0</v>
      </c>
      <c r="D203" s="41" t="s">
        <v>101</v>
      </c>
      <c r="E203" s="43">
        <f>C194+C203</f>
        <v>-100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c r="A204" s="313"/>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c r="A205" s="313"/>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c r="A206" s="313"/>
      <c r="B206" s="41" t="s">
        <v>103</v>
      </c>
      <c r="C206" s="42">
        <v>0</v>
      </c>
      <c r="D206" s="41" t="s">
        <v>103</v>
      </c>
      <c r="E206" s="43">
        <f>C197+C206+C195*C153-C194*C154</f>
        <v>80160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c r="A207" s="313"/>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c r="A208" s="313"/>
      <c r="B208" s="41" t="s">
        <v>105</v>
      </c>
      <c r="C208" s="42">
        <v>0</v>
      </c>
      <c r="D208" s="41" t="s">
        <v>105</v>
      </c>
      <c r="E208" s="43">
        <f>C199+C208+C194*C152-C193*C153</f>
        <v>-120160</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 thickBot="1">
      <c r="A209" s="314"/>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c r="A210" s="316" t="s">
        <v>329</v>
      </c>
      <c r="B210" s="68" t="s">
        <v>250</v>
      </c>
      <c r="E210" s="1" t="s">
        <v>146</v>
      </c>
    </row>
    <row r="211" spans="1:62" ht="15" customHeight="1">
      <c r="A211" s="316"/>
      <c r="B211" s="12" t="s">
        <v>73</v>
      </c>
      <c r="C211" s="56">
        <f>C189</f>
        <v>0</v>
      </c>
      <c r="E211" s="301" t="s">
        <v>138</v>
      </c>
      <c r="F211" s="301"/>
      <c r="G211" s="301" t="s">
        <v>139</v>
      </c>
      <c r="H211" s="301"/>
      <c r="N211" s="34" t="s">
        <v>98</v>
      </c>
      <c r="O211" s="1"/>
      <c r="P211" s="67"/>
      <c r="Q211" s="1"/>
      <c r="R211" s="1"/>
      <c r="S211" s="34" t="s">
        <v>136</v>
      </c>
      <c r="Y211" s="94" t="s">
        <v>297</v>
      </c>
    </row>
    <row r="212" spans="1:62" ht="15" customHeight="1">
      <c r="A212" s="316"/>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c r="A213" s="316"/>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1.1511117894743767E-3</v>
      </c>
      <c r="Z213" s="29">
        <f>F222*O227</f>
        <v>0</v>
      </c>
      <c r="AA213" s="29">
        <f>F223*P227</f>
        <v>0</v>
      </c>
      <c r="AB213" s="29">
        <f>F224*Q227</f>
        <v>0</v>
      </c>
    </row>
    <row r="214" spans="1:62" ht="15" customHeight="1">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-5.7308085130663011E-5</v>
      </c>
      <c r="Z214" s="29">
        <f>F222*O228</f>
        <v>0</v>
      </c>
      <c r="AA214" s="29">
        <f>F223*P228</f>
        <v>0</v>
      </c>
      <c r="AB214" s="29">
        <f>F224*Q228</f>
        <v>0</v>
      </c>
    </row>
    <row r="215" spans="1:62" ht="15" customHeight="1">
      <c r="A215" s="43">
        <f>IF(A214&gt;Naxes,0,1)</f>
        <v>0</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2.5078033420581148E-3</v>
      </c>
      <c r="Z215" s="29">
        <f>F222*O229</f>
        <v>0</v>
      </c>
      <c r="AA215" s="29">
        <f>F223*P229</f>
        <v>0</v>
      </c>
      <c r="AB215" s="29">
        <f>F224*Q229</f>
        <v>0</v>
      </c>
    </row>
    <row r="216" spans="1:62" ht="15" customHeight="1">
      <c r="A216" s="318"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c r="A217" s="318"/>
      <c r="B217" s="2" t="s">
        <v>178</v>
      </c>
      <c r="C217" s="37">
        <v>0</v>
      </c>
      <c r="E217" s="4" t="s">
        <v>87</v>
      </c>
      <c r="F217" s="48">
        <f>'CS_7 Bed'!B50</f>
        <v>4.999999975000001E-5</v>
      </c>
      <c r="G217" s="4" t="s">
        <v>87</v>
      </c>
      <c r="H217" s="48">
        <f>'CS_7 Bed'!B57</f>
        <v>0</v>
      </c>
      <c r="X217" s="6"/>
    </row>
    <row r="218" spans="1:62" ht="32" customHeight="1">
      <c r="A218" s="318"/>
      <c r="B218" s="2" t="s">
        <v>245</v>
      </c>
      <c r="C218" s="38">
        <v>0</v>
      </c>
      <c r="E218" s="299" t="s">
        <v>303</v>
      </c>
      <c r="F218" s="299"/>
      <c r="G218" s="301" t="s">
        <v>251</v>
      </c>
      <c r="H218" s="301"/>
      <c r="I218" s="299" t="s">
        <v>306</v>
      </c>
      <c r="J218" s="299"/>
      <c r="K218" s="299" t="s">
        <v>304</v>
      </c>
      <c r="L218" s="299"/>
      <c r="N218" s="34" t="s">
        <v>99</v>
      </c>
      <c r="O218" s="1"/>
      <c r="P218" s="67"/>
      <c r="Q218" s="1"/>
      <c r="R218" s="1"/>
      <c r="S218" s="34" t="s">
        <v>137</v>
      </c>
      <c r="X218" s="6"/>
      <c r="Y218" s="94" t="s">
        <v>296</v>
      </c>
    </row>
    <row r="219" spans="1:62" ht="15" customHeight="1">
      <c r="A219" s="318"/>
      <c r="B219" s="2" t="s">
        <v>77</v>
      </c>
      <c r="C219" s="38">
        <v>0</v>
      </c>
      <c r="E219" s="46" t="s">
        <v>84</v>
      </c>
      <c r="F219" s="49">
        <f>E235/IF(H219=0,1000000000000,H219)</f>
        <v>0</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c r="A220" s="312" t="s">
        <v>371</v>
      </c>
      <c r="B220" s="2" t="s">
        <v>107</v>
      </c>
      <c r="C220" s="37">
        <v>0</v>
      </c>
      <c r="E220" s="46" t="s">
        <v>112</v>
      </c>
      <c r="F220" s="49">
        <f t="shared" ref="F220:F221" si="52">E236/IF(H220=0,1000000000000,H220)</f>
        <v>-2.4999999999999999E-7</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1.1511117894743767E-3</v>
      </c>
      <c r="Z220" s="29">
        <f t="array" ref="Z220:Z223">MMULT(T231:W234,Z213:Z216)</f>
        <v>0</v>
      </c>
      <c r="AA220" s="29">
        <f t="array" ref="AA220:AA223">MMULT(T231:W234,AA213:AA216)</f>
        <v>0</v>
      </c>
      <c r="AB220" s="29">
        <f t="array" ref="AB220:AB223">MMULT(T231:W234,AB213:AB216)</f>
        <v>0</v>
      </c>
    </row>
    <row r="221" spans="1:62" ht="15" customHeight="1">
      <c r="A221" s="313"/>
      <c r="B221" s="34" t="s">
        <v>78</v>
      </c>
      <c r="E221" s="46" t="s">
        <v>113</v>
      </c>
      <c r="F221" s="49">
        <f t="shared" si="52"/>
        <v>0</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-5.7308085130663011E-5</v>
      </c>
      <c r="Z221" s="29">
        <v>0</v>
      </c>
      <c r="AA221" s="29">
        <v>0</v>
      </c>
      <c r="AB221" s="29">
        <v>0</v>
      </c>
    </row>
    <row r="222" spans="1:62" ht="15" customHeight="1">
      <c r="A222" s="313"/>
      <c r="B222" s="12" t="s">
        <v>79</v>
      </c>
      <c r="C222" s="31">
        <f>AC231+C218</f>
        <v>0</v>
      </c>
      <c r="E222" s="4" t="s">
        <v>85</v>
      </c>
      <c r="F222" s="49">
        <f>E239/IF(H222=0,1000000000000,H222)+L219</f>
        <v>0</v>
      </c>
      <c r="G222" s="46" t="s">
        <v>8</v>
      </c>
      <c r="H222" s="29">
        <f>'CS_7 Bed'!B29</f>
        <v>4000404375000</v>
      </c>
      <c r="I222" s="4" t="s">
        <v>305</v>
      </c>
      <c r="J222" s="29">
        <v>1</v>
      </c>
      <c r="K222" s="4" t="s">
        <v>305</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2.5078033420581148E-3</v>
      </c>
      <c r="Z222" s="29">
        <v>0</v>
      </c>
      <c r="AA222" s="29">
        <v>0</v>
      </c>
      <c r="AB222" s="29">
        <v>0</v>
      </c>
    </row>
    <row r="223" spans="1:62" ht="15" customHeight="1">
      <c r="A223" s="313"/>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c r="A224" s="313"/>
      <c r="B224" s="12" t="s">
        <v>81</v>
      </c>
      <c r="C224" s="31">
        <f>AC233+C220</f>
        <v>0</v>
      </c>
      <c r="E224" s="4" t="s">
        <v>87</v>
      </c>
      <c r="F224" s="49">
        <f t="shared" si="53"/>
        <v>-1.8189587559855667E-24</v>
      </c>
      <c r="G224" s="46" t="s">
        <v>116</v>
      </c>
      <c r="H224" s="29">
        <f>'CS_7 Bed'!B31</f>
        <v>8000134791666.667</v>
      </c>
      <c r="AB224" s="5"/>
      <c r="AU224" s="5" t="s">
        <v>67</v>
      </c>
      <c r="AZ224" s="5" t="s">
        <v>92</v>
      </c>
      <c r="BE224" s="5" t="s">
        <v>97</v>
      </c>
      <c r="BJ224" s="5" t="s">
        <v>97</v>
      </c>
    </row>
    <row r="225" spans="1:59" ht="30">
      <c r="A225" s="313"/>
      <c r="B225" s="69" t="s">
        <v>106</v>
      </c>
      <c r="E225" s="301" t="s">
        <v>294</v>
      </c>
      <c r="F225" s="315"/>
      <c r="G225" s="309" t="s">
        <v>293</v>
      </c>
      <c r="H225" s="310"/>
      <c r="I225" s="310"/>
      <c r="J225" s="310"/>
      <c r="K225" s="310"/>
      <c r="L225" s="311"/>
      <c r="M225" s="93" t="s">
        <v>295</v>
      </c>
      <c r="N225" s="84" t="s">
        <v>248</v>
      </c>
      <c r="AE225" s="45" t="s">
        <v>227</v>
      </c>
      <c r="AF225" s="91">
        <v>1E-3</v>
      </c>
      <c r="AG225" s="45"/>
      <c r="AH225" s="45"/>
      <c r="AI225" s="45"/>
      <c r="AJ225" s="45" t="s">
        <v>93</v>
      </c>
      <c r="AK225" s="92">
        <v>1E-3</v>
      </c>
      <c r="AL225" s="7"/>
      <c r="AM225" s="7"/>
      <c r="AN225" s="45"/>
      <c r="AO225" s="45" t="s">
        <v>226</v>
      </c>
      <c r="AP225" s="91">
        <v>1E-3</v>
      </c>
      <c r="AU225" s="7" t="s">
        <v>0</v>
      </c>
      <c r="AV225" s="7" t="s">
        <v>1</v>
      </c>
      <c r="AW225" s="7" t="s">
        <v>2</v>
      </c>
      <c r="AZ225" s="7" t="s">
        <v>0</v>
      </c>
      <c r="BA225" s="7" t="s">
        <v>1</v>
      </c>
      <c r="BB225" s="7" t="s">
        <v>2</v>
      </c>
      <c r="BE225" s="7" t="s">
        <v>0</v>
      </c>
      <c r="BF225" s="7" t="s">
        <v>1</v>
      </c>
      <c r="BG225" s="7" t="s">
        <v>2</v>
      </c>
    </row>
    <row r="226" spans="1:59" ht="15" customHeight="1">
      <c r="A226" s="313"/>
      <c r="B226" s="41" t="s">
        <v>100</v>
      </c>
      <c r="C226" s="43">
        <f t="array" ref="C226:C229">MMULT(O198:R201,E202:E205)</f>
        <v>0</v>
      </c>
      <c r="E226" s="46" t="s">
        <v>84</v>
      </c>
      <c r="F226" s="49">
        <f t="array" ref="F226:F231">MMULT(G226:L231,M226:M231)</f>
        <v>1.1511117894743767E-3</v>
      </c>
      <c r="G226" s="132">
        <f>'CS_7 Bed'!G5</f>
        <v>5.7058085130663014E-7</v>
      </c>
      <c r="H226" s="132">
        <f>'CS_7 Bed'!H5</f>
        <v>0</v>
      </c>
      <c r="I226" s="132">
        <f>'CS_7 Bed'!I5</f>
        <v>0</v>
      </c>
      <c r="J226" s="132">
        <f>'CS_7 Bed'!J5</f>
        <v>0</v>
      </c>
      <c r="K226" s="132">
        <f>'CS_7 Bed'!K5</f>
        <v>0</v>
      </c>
      <c r="L226" s="132">
        <f>'CS_7 Bed'!L5</f>
        <v>-9.5798251454259047E-9</v>
      </c>
      <c r="M226" s="29">
        <f>C226</f>
        <v>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c r="A227" s="313"/>
      <c r="B227" s="41" t="s">
        <v>101</v>
      </c>
      <c r="C227" s="43">
        <v>-100</v>
      </c>
      <c r="E227" s="46" t="s">
        <v>112</v>
      </c>
      <c r="F227" s="49">
        <v>-5.7058085130663012E-5</v>
      </c>
      <c r="G227" s="132">
        <f>'CS_7 Bed'!G6</f>
        <v>0</v>
      </c>
      <c r="H227" s="132">
        <f>'CS_7 Bed'!H6</f>
        <v>5.7058085130663014E-7</v>
      </c>
      <c r="I227" s="132">
        <f>'CS_7 Bed'!I6</f>
        <v>0</v>
      </c>
      <c r="J227" s="132">
        <f>'CS_7 Bed'!J6</f>
        <v>0</v>
      </c>
      <c r="K227" s="132">
        <f>'CS_7 Bed'!K6</f>
        <v>0</v>
      </c>
      <c r="L227" s="132">
        <f>'CS_7 Bed'!L6</f>
        <v>0</v>
      </c>
      <c r="M227" s="29">
        <f t="shared" ref="M227:M228" si="54">C227</f>
        <v>-100</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c r="A228" s="313"/>
      <c r="B228" s="41" t="s">
        <v>102</v>
      </c>
      <c r="C228" s="43">
        <v>0</v>
      </c>
      <c r="E228" s="46" t="s">
        <v>113</v>
      </c>
      <c r="F228" s="49">
        <v>2.5078033420581148E-3</v>
      </c>
      <c r="G228" s="132">
        <f>'CS_7 Bed'!G7</f>
        <v>0</v>
      </c>
      <c r="H228" s="132">
        <f>'CS_7 Bed'!H7</f>
        <v>0</v>
      </c>
      <c r="I228" s="132">
        <f>'CS_7 Bed'!I7</f>
        <v>1.0378143907544729E-6</v>
      </c>
      <c r="J228" s="132">
        <f>'CS_7 Bed'!J7</f>
        <v>3.1284971832062308E-8</v>
      </c>
      <c r="K228" s="132">
        <f>'CS_7 Bed'!K7</f>
        <v>0</v>
      </c>
      <c r="L228" s="132">
        <f>'CS_7 Bed'!L7</f>
        <v>0</v>
      </c>
      <c r="M228" s="29">
        <f t="shared" si="54"/>
        <v>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c r="A229" s="313"/>
      <c r="B229" s="41" t="s">
        <v>108</v>
      </c>
      <c r="C229" s="43">
        <v>1</v>
      </c>
      <c r="E229" s="4" t="s">
        <v>85</v>
      </c>
      <c r="F229" s="49">
        <v>1.891569614842979E-5</v>
      </c>
      <c r="G229" s="132">
        <f>'CS_7 Bed'!G8</f>
        <v>0</v>
      </c>
      <c r="H229" s="132">
        <f>'CS_7 Bed'!H8</f>
        <v>0</v>
      </c>
      <c r="I229" s="132">
        <f>'CS_7 Bed'!I8</f>
        <v>3.1284971832062308E-8</v>
      </c>
      <c r="J229" s="132">
        <f>'CS_7 Bed'!J8</f>
        <v>2.3597425334867504E-10</v>
      </c>
      <c r="K229" s="132">
        <f>'CS_7 Bed'!K8</f>
        <v>0</v>
      </c>
      <c r="L229" s="132">
        <f>'CS_7 Bed'!L8</f>
        <v>0</v>
      </c>
      <c r="M229" s="29">
        <f>C230</f>
        <v>80160</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c r="A230" s="313"/>
      <c r="B230" s="41" t="s">
        <v>103</v>
      </c>
      <c r="C230" s="43">
        <f t="array" ref="C230:C233">MMULT(O198:R201,E206:E209)</f>
        <v>80160</v>
      </c>
      <c r="E230" s="4" t="s">
        <v>86</v>
      </c>
      <c r="F230" s="49">
        <v>0</v>
      </c>
      <c r="G230" s="132">
        <f>'CS_7 Bed'!G9</f>
        <v>0</v>
      </c>
      <c r="H230" s="132">
        <f>'CS_7 Bed'!H9</f>
        <v>0</v>
      </c>
      <c r="I230" s="132">
        <f>'CS_7 Bed'!I9</f>
        <v>0</v>
      </c>
      <c r="J230" s="132">
        <f>'CS_7 Bed'!J9</f>
        <v>0</v>
      </c>
      <c r="K230" s="132">
        <f>'CS_7 Bed'!K9</f>
        <v>2.167742484830349E-10</v>
      </c>
      <c r="L230" s="132">
        <f>'CS_7 Bed'!L9</f>
        <v>0</v>
      </c>
      <c r="M230" s="29">
        <f>C231</f>
        <v>0</v>
      </c>
      <c r="O230" s="3" t="s">
        <v>82</v>
      </c>
      <c r="T230" s="3" t="s">
        <v>83</v>
      </c>
      <c r="AE230" t="s">
        <v>95</v>
      </c>
      <c r="AJ230" t="s">
        <v>94</v>
      </c>
      <c r="AO230" t="s">
        <v>96</v>
      </c>
    </row>
    <row r="231" spans="1:59" ht="15" customHeight="1">
      <c r="A231" s="313"/>
      <c r="B231" s="41" t="s">
        <v>104</v>
      </c>
      <c r="C231" s="43">
        <v>0</v>
      </c>
      <c r="E231" s="4" t="s">
        <v>87</v>
      </c>
      <c r="F231" s="49">
        <v>0</v>
      </c>
      <c r="G231" s="132">
        <f>'CS_7 Bed'!G10</f>
        <v>-9.5798251454259047E-9</v>
      </c>
      <c r="H231" s="132">
        <f>'CS_7 Bed'!H10</f>
        <v>0</v>
      </c>
      <c r="I231" s="132">
        <f>'CS_7 Bed'!I10</f>
        <v>0</v>
      </c>
      <c r="J231" s="132">
        <f>'CS_7 Bed'!J10</f>
        <v>0</v>
      </c>
      <c r="K231" s="132">
        <f>'CS_7 Bed'!K10</f>
        <v>0</v>
      </c>
      <c r="L231" s="132">
        <f>'CS_7 Bed'!L10</f>
        <v>0</v>
      </c>
      <c r="M231" s="29">
        <f>C232</f>
        <v>-120160</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c r="A232" s="313"/>
      <c r="B232" s="41" t="s">
        <v>105</v>
      </c>
      <c r="C232" s="43">
        <v>-120160</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c r="A233" s="313"/>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c r="A234" s="313"/>
      <c r="B234" s="77" t="s">
        <v>183</v>
      </c>
      <c r="C234"/>
      <c r="D234" s="89" t="s">
        <v>246</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c r="A235" s="313"/>
      <c r="B235" s="41" t="s">
        <v>100</v>
      </c>
      <c r="C235" s="42">
        <v>0</v>
      </c>
      <c r="D235" s="41" t="s">
        <v>100</v>
      </c>
      <c r="E235" s="43">
        <f>C226+C235</f>
        <v>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c r="A236" s="313"/>
      <c r="B236" s="41" t="s">
        <v>101</v>
      </c>
      <c r="C236" s="42">
        <v>0</v>
      </c>
      <c r="D236" s="41" t="s">
        <v>101</v>
      </c>
      <c r="E236" s="43">
        <f>C227+C236</f>
        <v>-100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c r="A237" s="313"/>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c r="A238" s="313"/>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c r="A239" s="313"/>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c r="A240" s="313"/>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c r="A241" s="313"/>
      <c r="B241" s="41" t="s">
        <v>105</v>
      </c>
      <c r="C241" s="42">
        <v>0</v>
      </c>
      <c r="D241" s="41" t="s">
        <v>105</v>
      </c>
      <c r="E241" s="43">
        <f>C232+C241+C227*C185-C226*C186</f>
        <v>-1.4551915228366852E-11</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 thickBot="1">
      <c r="A242" s="314"/>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c r="A243" s="316" t="s">
        <v>330</v>
      </c>
      <c r="B243" s="68" t="s">
        <v>250</v>
      </c>
      <c r="E243" s="1" t="s">
        <v>147</v>
      </c>
    </row>
    <row r="244" spans="1:44" ht="15" customHeight="1">
      <c r="A244" s="316"/>
      <c r="B244" s="12" t="s">
        <v>73</v>
      </c>
      <c r="C244" s="56">
        <f>C222</f>
        <v>0</v>
      </c>
      <c r="E244" s="301" t="s">
        <v>138</v>
      </c>
      <c r="F244" s="301"/>
      <c r="G244" s="301" t="s">
        <v>139</v>
      </c>
      <c r="H244" s="301"/>
      <c r="N244" s="34" t="s">
        <v>98</v>
      </c>
      <c r="O244" s="1"/>
      <c r="P244" s="67"/>
      <c r="Q244" s="1"/>
      <c r="R244" s="1"/>
      <c r="S244" s="34" t="s">
        <v>136</v>
      </c>
      <c r="Y244" s="94" t="s">
        <v>297</v>
      </c>
    </row>
    <row r="245" spans="1:44" ht="15" customHeight="1">
      <c r="A245" s="316"/>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c r="A246" s="316"/>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0</v>
      </c>
      <c r="Z246" s="29">
        <f>F255*O260</f>
        <v>0</v>
      </c>
      <c r="AA246" s="29">
        <f>F256*P260</f>
        <v>0</v>
      </c>
      <c r="AB246" s="29">
        <f>F257*Q260</f>
        <v>0</v>
      </c>
    </row>
    <row r="247" spans="1:44" ht="15" customHeight="1">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-3.8639876352395674E-5</v>
      </c>
      <c r="Z247" s="29">
        <f>F255*O261</f>
        <v>0</v>
      </c>
      <c r="AA247" s="29">
        <f>F256*P261</f>
        <v>0</v>
      </c>
      <c r="AB247" s="29">
        <f>F257*Q261</f>
        <v>0</v>
      </c>
    </row>
    <row r="248" spans="1:44" ht="15" customHeight="1">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0</v>
      </c>
      <c r="Z248" s="29">
        <f>F255*O262</f>
        <v>0</v>
      </c>
      <c r="AA248" s="29">
        <f>F256*P262</f>
        <v>0</v>
      </c>
      <c r="AB248" s="29">
        <f>F257*Q262</f>
        <v>0</v>
      </c>
    </row>
    <row r="249" spans="1:44" ht="15" customHeight="1">
      <c r="A249" s="318"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c r="A250" s="318"/>
      <c r="B250" s="2" t="s">
        <v>178</v>
      </c>
      <c r="C250" s="37">
        <v>0</v>
      </c>
      <c r="E250" s="4" t="s">
        <v>87</v>
      </c>
      <c r="F250" s="48">
        <f>CS_8!B50</f>
        <v>1.0000000000000007E-4</v>
      </c>
      <c r="G250" s="4" t="s">
        <v>87</v>
      </c>
      <c r="H250" s="48">
        <f>CS_8!B57</f>
        <v>0</v>
      </c>
      <c r="X250" s="6"/>
    </row>
    <row r="251" spans="1:44" ht="32" customHeight="1">
      <c r="A251" s="318"/>
      <c r="B251" s="2" t="s">
        <v>245</v>
      </c>
      <c r="C251" s="37">
        <v>10</v>
      </c>
      <c r="E251" s="299" t="s">
        <v>303</v>
      </c>
      <c r="F251" s="299"/>
      <c r="G251" s="301" t="s">
        <v>251</v>
      </c>
      <c r="H251" s="301"/>
      <c r="I251" s="299" t="s">
        <v>306</v>
      </c>
      <c r="J251" s="299"/>
      <c r="K251" s="299" t="s">
        <v>304</v>
      </c>
      <c r="L251" s="299"/>
      <c r="N251" s="34" t="s">
        <v>99</v>
      </c>
      <c r="O251" s="1"/>
      <c r="P251" s="67"/>
      <c r="Q251" s="1"/>
      <c r="R251" s="1"/>
      <c r="S251" s="34" t="s">
        <v>137</v>
      </c>
      <c r="X251" s="6"/>
      <c r="Y251" s="94" t="s">
        <v>296</v>
      </c>
    </row>
    <row r="252" spans="1:44" ht="15" customHeight="1">
      <c r="A252" s="318"/>
      <c r="B252" s="2" t="s">
        <v>77</v>
      </c>
      <c r="C252" s="38">
        <v>0</v>
      </c>
      <c r="E252" s="46" t="s">
        <v>84</v>
      </c>
      <c r="F252" s="49">
        <f>E268/IF(H252=0,1000000000000,H252)</f>
        <v>0</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c r="A253" s="312" t="s">
        <v>372</v>
      </c>
      <c r="B253" s="2" t="s">
        <v>107</v>
      </c>
      <c r="C253" s="37">
        <v>0</v>
      </c>
      <c r="E253" s="46" t="s">
        <v>112</v>
      </c>
      <c r="F253" s="49">
        <f t="shared" ref="F253:F254" si="60">E269/IF(H253=0,1000000000000,H253)</f>
        <v>-3.8639876352395674E-5</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0</v>
      </c>
      <c r="Z253" s="29">
        <f t="array" ref="Z253:Z256">MMULT(T264:W267,Z246:Z249)</f>
        <v>0</v>
      </c>
      <c r="AA253" s="29">
        <f t="array" ref="AA253:AA256">MMULT(T264:W267,AA246:AA249)</f>
        <v>0</v>
      </c>
      <c r="AB253" s="29">
        <f t="array" ref="AB253:AB256">MMULT(T264:W267,AB246:AB249)</f>
        <v>0</v>
      </c>
    </row>
    <row r="254" spans="1:44" ht="15" customHeight="1">
      <c r="A254" s="313"/>
      <c r="B254" s="34" t="s">
        <v>78</v>
      </c>
      <c r="E254" s="46" t="s">
        <v>113</v>
      </c>
      <c r="F254" s="49">
        <f t="shared" si="60"/>
        <v>0</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-3.8639876352395674E-5</v>
      </c>
      <c r="Z254" s="29">
        <v>0</v>
      </c>
      <c r="AA254" s="29">
        <v>0</v>
      </c>
      <c r="AB254" s="29">
        <v>0</v>
      </c>
    </row>
    <row r="255" spans="1:44" ht="15" customHeight="1">
      <c r="A255" s="313"/>
      <c r="B255" s="12" t="s">
        <v>79</v>
      </c>
      <c r="C255" s="31">
        <f>AC264+C251</f>
        <v>10</v>
      </c>
      <c r="E255" s="4" t="s">
        <v>85</v>
      </c>
      <c r="F255" s="49">
        <f>E272/IF(H255=0,1000000000000,H255)+L252</f>
        <v>0</v>
      </c>
      <c r="G255" s="46" t="s">
        <v>8</v>
      </c>
      <c r="H255" s="29">
        <f>CS_8!B29</f>
        <v>6874375000</v>
      </c>
      <c r="I255" s="4" t="s">
        <v>305</v>
      </c>
      <c r="J255" s="29">
        <v>1</v>
      </c>
      <c r="K255" s="4" t="s">
        <v>305</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c r="A256" s="313"/>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c r="A257" s="313"/>
      <c r="B257" s="12" t="s">
        <v>81</v>
      </c>
      <c r="C257" s="31">
        <f>AC266+C253</f>
        <v>0</v>
      </c>
      <c r="E257" s="4" t="s">
        <v>87</v>
      </c>
      <c r="F257" s="49">
        <f t="shared" si="61"/>
        <v>-2.2032360690206254E-21</v>
      </c>
      <c r="G257" s="46" t="s">
        <v>116</v>
      </c>
      <c r="H257" s="29">
        <f>CS_8!B31</f>
        <v>6604791666.666667</v>
      </c>
      <c r="AB257" s="5"/>
      <c r="AU257" s="5" t="s">
        <v>67</v>
      </c>
      <c r="AZ257" s="5" t="s">
        <v>92</v>
      </c>
      <c r="BE257" s="5" t="s">
        <v>97</v>
      </c>
      <c r="BJ257" s="5" t="s">
        <v>97</v>
      </c>
    </row>
    <row r="258" spans="1:62" ht="30">
      <c r="A258" s="313"/>
      <c r="B258" s="69" t="s">
        <v>106</v>
      </c>
      <c r="E258" s="301" t="s">
        <v>294</v>
      </c>
      <c r="F258" s="315"/>
      <c r="G258" s="309" t="s">
        <v>293</v>
      </c>
      <c r="H258" s="310"/>
      <c r="I258" s="310"/>
      <c r="J258" s="310"/>
      <c r="K258" s="310"/>
      <c r="L258" s="311"/>
      <c r="M258" s="93" t="s">
        <v>295</v>
      </c>
      <c r="N258" s="84" t="s">
        <v>248</v>
      </c>
      <c r="AE258" s="45" t="s">
        <v>227</v>
      </c>
      <c r="AF258" s="91">
        <v>1E-3</v>
      </c>
      <c r="AG258" s="45"/>
      <c r="AH258" s="45"/>
      <c r="AI258" s="45"/>
      <c r="AJ258" s="45" t="s">
        <v>93</v>
      </c>
      <c r="AK258" s="92">
        <v>1E-3</v>
      </c>
      <c r="AL258" s="7"/>
      <c r="AM258" s="7"/>
      <c r="AN258" s="45"/>
      <c r="AO258" s="45" t="s">
        <v>226</v>
      </c>
      <c r="AP258" s="91">
        <v>1E-3</v>
      </c>
      <c r="AU258" s="7" t="s">
        <v>0</v>
      </c>
      <c r="AV258" s="7" t="s">
        <v>1</v>
      </c>
      <c r="AW258" s="7" t="s">
        <v>2</v>
      </c>
      <c r="AZ258" s="7" t="s">
        <v>0</v>
      </c>
      <c r="BA258" s="7" t="s">
        <v>1</v>
      </c>
      <c r="BB258" s="7" t="s">
        <v>2</v>
      </c>
      <c r="BE258" s="7" t="s">
        <v>0</v>
      </c>
      <c r="BF258" s="7" t="s">
        <v>1</v>
      </c>
      <c r="BG258" s="7" t="s">
        <v>2</v>
      </c>
    </row>
    <row r="259" spans="1:62" ht="15" customHeight="1">
      <c r="A259" s="313"/>
      <c r="B259" s="41" t="s">
        <v>100</v>
      </c>
      <c r="C259" s="43">
        <f t="array" ref="C259:C262">MMULT(O231:R234,E235:E238)</f>
        <v>0</v>
      </c>
      <c r="E259" s="46" t="s">
        <v>84</v>
      </c>
      <c r="F259" s="49">
        <f t="array" ref="F259:F264">MMULT(G259:L264,M259:M264)</f>
        <v>0</v>
      </c>
      <c r="G259" s="132">
        <f>CS_8!G5</f>
        <v>0</v>
      </c>
      <c r="H259" s="132">
        <f>CS_8!H5</f>
        <v>0</v>
      </c>
      <c r="I259" s="132">
        <f>CS_8!I5</f>
        <v>0</v>
      </c>
      <c r="J259" s="132">
        <f>CS_8!J5</f>
        <v>0</v>
      </c>
      <c r="K259" s="132">
        <f>CS_8!K5</f>
        <v>0</v>
      </c>
      <c r="L259" s="132">
        <f>CS_8!L5</f>
        <v>0</v>
      </c>
      <c r="M259" s="29">
        <f>C259</f>
        <v>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c r="A260" s="313"/>
      <c r="B260" s="41" t="s">
        <v>101</v>
      </c>
      <c r="C260" s="43">
        <v>-100</v>
      </c>
      <c r="E260" s="46" t="s">
        <v>112</v>
      </c>
      <c r="F260" s="49">
        <v>0</v>
      </c>
      <c r="G260" s="132">
        <f>CS_8!G6</f>
        <v>0</v>
      </c>
      <c r="H260" s="132">
        <f>CS_8!H6</f>
        <v>0</v>
      </c>
      <c r="I260" s="132">
        <f>CS_8!I6</f>
        <v>0</v>
      </c>
      <c r="J260" s="132">
        <f>CS_8!J6</f>
        <v>0</v>
      </c>
      <c r="K260" s="132">
        <f>CS_8!K6</f>
        <v>0</v>
      </c>
      <c r="L260" s="132">
        <f>CS_8!L6</f>
        <v>0</v>
      </c>
      <c r="M260" s="29">
        <f t="shared" ref="M260:M261" si="62">C260</f>
        <v>-100</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c r="A261" s="313"/>
      <c r="B261" s="41" t="s">
        <v>102</v>
      </c>
      <c r="C261" s="43">
        <v>0</v>
      </c>
      <c r="E261" s="46" t="s">
        <v>113</v>
      </c>
      <c r="F261" s="49">
        <v>0</v>
      </c>
      <c r="G261" s="132">
        <f>CS_8!G7</f>
        <v>0</v>
      </c>
      <c r="H261" s="132">
        <f>CS_8!H7</f>
        <v>0</v>
      </c>
      <c r="I261" s="132">
        <f>CS_8!I7</f>
        <v>0</v>
      </c>
      <c r="J261" s="132">
        <f>CS_8!J7</f>
        <v>0</v>
      </c>
      <c r="K261" s="132">
        <f>CS_8!K7</f>
        <v>0</v>
      </c>
      <c r="L261" s="132">
        <f>CS_8!L7</f>
        <v>0</v>
      </c>
      <c r="M261" s="29">
        <f t="shared" si="62"/>
        <v>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c r="A262" s="313"/>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c r="A263" s="313"/>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c r="A264" s="313"/>
      <c r="B264" s="41" t="s">
        <v>104</v>
      </c>
      <c r="C264" s="43">
        <v>0</v>
      </c>
      <c r="E264" s="4" t="s">
        <v>87</v>
      </c>
      <c r="F264" s="49">
        <v>0</v>
      </c>
      <c r="G264" s="132">
        <f>CS_8!G10</f>
        <v>0</v>
      </c>
      <c r="H264" s="132">
        <f>CS_8!H10</f>
        <v>0</v>
      </c>
      <c r="I264" s="132">
        <f>CS_8!I10</f>
        <v>0</v>
      </c>
      <c r="J264" s="132">
        <f>CS_8!J10</f>
        <v>0</v>
      </c>
      <c r="K264" s="132">
        <f>CS_8!K10</f>
        <v>0</v>
      </c>
      <c r="L264" s="132">
        <f>CS_8!L10</f>
        <v>0</v>
      </c>
      <c r="M264" s="29">
        <f>C265</f>
        <v>-1.4551915228366852E-11</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c r="A265" s="313"/>
      <c r="B265" s="41" t="s">
        <v>105</v>
      </c>
      <c r="C265" s="43">
        <v>-1.4551915228366852E-11</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c r="A266" s="313"/>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c r="A267" s="313"/>
      <c r="B267" s="77" t="s">
        <v>183</v>
      </c>
      <c r="C267"/>
      <c r="D267" s="89" t="s">
        <v>246</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c r="A268" s="313"/>
      <c r="B268" s="41" t="s">
        <v>100</v>
      </c>
      <c r="C268" s="42">
        <v>0</v>
      </c>
      <c r="D268" s="41" t="s">
        <v>100</v>
      </c>
      <c r="E268" s="43">
        <f>C259+C268</f>
        <v>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c r="A269" s="313"/>
      <c r="B269" s="41" t="s">
        <v>101</v>
      </c>
      <c r="C269" s="42">
        <v>0</v>
      </c>
      <c r="D269" s="41" t="s">
        <v>101</v>
      </c>
      <c r="E269" s="43">
        <f>C260+C269</f>
        <v>-100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c r="A270" s="313"/>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c r="A271" s="313"/>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c r="A272" s="313"/>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c r="A273" s="313"/>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c r="A274" s="313"/>
      <c r="B274" s="41" t="s">
        <v>105</v>
      </c>
      <c r="C274" s="42">
        <v>0</v>
      </c>
      <c r="D274" s="41" t="s">
        <v>105</v>
      </c>
      <c r="E274" s="43">
        <f>C265+C274+C260*C218-C259*C219</f>
        <v>-1.4551915228366852E-11</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 thickBot="1">
      <c r="A275" s="314"/>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c r="A276" s="316" t="s">
        <v>331</v>
      </c>
      <c r="B276" s="68" t="s">
        <v>250</v>
      </c>
      <c r="E276" s="1" t="s">
        <v>148</v>
      </c>
    </row>
    <row r="277" spans="1:44" ht="15" customHeight="1">
      <c r="A277" s="316"/>
      <c r="B277" s="12" t="s">
        <v>73</v>
      </c>
      <c r="C277" s="56">
        <f>C255</f>
        <v>10</v>
      </c>
      <c r="E277" s="301" t="s">
        <v>138</v>
      </c>
      <c r="F277" s="301"/>
      <c r="G277" s="301" t="s">
        <v>139</v>
      </c>
      <c r="H277" s="301"/>
      <c r="N277" s="34" t="s">
        <v>98</v>
      </c>
      <c r="O277" s="1"/>
      <c r="P277" s="67"/>
      <c r="Q277" s="1"/>
      <c r="R277" s="1"/>
      <c r="S277" s="34" t="s">
        <v>136</v>
      </c>
      <c r="Y277" s="94" t="s">
        <v>297</v>
      </c>
    </row>
    <row r="278" spans="1:44" ht="15" customHeight="1">
      <c r="A278" s="316"/>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c r="A279" s="316"/>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0</v>
      </c>
      <c r="Z279" s="29">
        <f>F288*O293</f>
        <v>0</v>
      </c>
      <c r="AA279" s="29">
        <f>F289*P293</f>
        <v>0</v>
      </c>
      <c r="AB279" s="29">
        <f>F290*Q293</f>
        <v>7.5702608571306335E-10</v>
      </c>
    </row>
    <row r="280" spans="1:44" ht="15" customHeight="1">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-3.8639876352395674E-5</v>
      </c>
      <c r="Z280" s="29">
        <f>F288*O294</f>
        <v>0</v>
      </c>
      <c r="AA280" s="29">
        <f>F289*P294</f>
        <v>0</v>
      </c>
      <c r="AB280" s="29">
        <f>F290*Q294</f>
        <v>-1.5140520455477743E-6</v>
      </c>
    </row>
    <row r="281" spans="1:44" ht="15" customHeight="1">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0</v>
      </c>
      <c r="Z281" s="29">
        <f>F288*O295</f>
        <v>0</v>
      </c>
      <c r="AA281" s="29">
        <f>F289*P295</f>
        <v>0</v>
      </c>
      <c r="AB281" s="29">
        <f>F290*Q295</f>
        <v>0</v>
      </c>
    </row>
    <row r="282" spans="1:44" ht="15" customHeight="1">
      <c r="A282" s="318"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c r="A283" s="318"/>
      <c r="B283" s="2" t="s">
        <v>178</v>
      </c>
      <c r="C283" s="37">
        <v>0</v>
      </c>
      <c r="E283" s="4" t="s">
        <v>87</v>
      </c>
      <c r="F283" s="48">
        <f>CS_9!B50</f>
        <v>1.0000000000000007E-4</v>
      </c>
      <c r="G283" s="4" t="s">
        <v>87</v>
      </c>
      <c r="H283" s="48">
        <f>CS_9!B57</f>
        <v>0</v>
      </c>
      <c r="X283" s="6"/>
    </row>
    <row r="284" spans="1:44" ht="33" customHeight="1">
      <c r="A284" s="318"/>
      <c r="B284" s="2" t="s">
        <v>245</v>
      </c>
      <c r="C284" s="37">
        <v>10</v>
      </c>
      <c r="E284" s="299" t="s">
        <v>303</v>
      </c>
      <c r="F284" s="299"/>
      <c r="G284" s="301" t="s">
        <v>251</v>
      </c>
      <c r="H284" s="301"/>
      <c r="I284" s="299" t="s">
        <v>306</v>
      </c>
      <c r="J284" s="299"/>
      <c r="K284" s="299" t="s">
        <v>304</v>
      </c>
      <c r="L284" s="299"/>
      <c r="N284" s="34" t="s">
        <v>99</v>
      </c>
      <c r="O284" s="1"/>
      <c r="P284" s="67"/>
      <c r="Q284" s="1"/>
      <c r="R284" s="1"/>
      <c r="S284" s="34" t="s">
        <v>137</v>
      </c>
      <c r="X284" s="6"/>
      <c r="Y284" s="94" t="s">
        <v>296</v>
      </c>
    </row>
    <row r="285" spans="1:44" ht="15" customHeight="1">
      <c r="A285" s="318"/>
      <c r="B285" s="2" t="s">
        <v>77</v>
      </c>
      <c r="C285" s="38">
        <v>0</v>
      </c>
      <c r="E285" s="46" t="s">
        <v>84</v>
      </c>
      <c r="F285" s="49">
        <f>E301/IF(H285=0,1000000000000,H285)</f>
        <v>0</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c r="A286" s="324" t="s">
        <v>135</v>
      </c>
      <c r="B286" s="2" t="s">
        <v>107</v>
      </c>
      <c r="C286" s="37">
        <v>0</v>
      </c>
      <c r="E286" s="46" t="s">
        <v>112</v>
      </c>
      <c r="F286" s="49">
        <f t="shared" ref="F286:F287" si="68">E302/IF(H286=0,1000000000000,H286)</f>
        <v>-3.8639876352395674E-5</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0</v>
      </c>
      <c r="Z286" s="29">
        <f t="array" ref="Z286:Z289">MMULT(T297:W300,Z279:Z282)</f>
        <v>0</v>
      </c>
      <c r="AA286" s="29">
        <f t="array" ref="AA286:AA289">MMULT(T297:W300,AA279:AA282)</f>
        <v>0</v>
      </c>
      <c r="AB286" s="29">
        <f t="array" ref="AB286:AB289">MMULT(T297:W300,AB279:AB282)</f>
        <v>7.5702608571306335E-10</v>
      </c>
    </row>
    <row r="287" spans="1:44" ht="15" customHeight="1">
      <c r="A287" s="324"/>
      <c r="B287" s="34" t="s">
        <v>78</v>
      </c>
      <c r="E287" s="46" t="s">
        <v>113</v>
      </c>
      <c r="F287" s="49">
        <f t="shared" si="68"/>
        <v>0</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-3.8639876352395674E-5</v>
      </c>
      <c r="Z287" s="29">
        <v>0</v>
      </c>
      <c r="AA287" s="29">
        <v>0</v>
      </c>
      <c r="AB287" s="29">
        <v>-1.5140520455477743E-6</v>
      </c>
    </row>
    <row r="288" spans="1:44" ht="15" customHeight="1">
      <c r="A288" s="324"/>
      <c r="B288" s="12" t="s">
        <v>79</v>
      </c>
      <c r="C288" s="31">
        <f>AC297+C284</f>
        <v>20</v>
      </c>
      <c r="E288" s="4" t="s">
        <v>85</v>
      </c>
      <c r="F288" s="49">
        <f>E305/IF(H288=0,1000000000000,H288)+L285</f>
        <v>0</v>
      </c>
      <c r="G288" s="46" t="s">
        <v>8</v>
      </c>
      <c r="H288" s="29">
        <f>CS_9!B29</f>
        <v>6874375000</v>
      </c>
      <c r="I288" s="4" t="s">
        <v>305</v>
      </c>
      <c r="J288" s="29">
        <v>1</v>
      </c>
      <c r="K288" s="4" t="s">
        <v>305</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c r="A289" s="324"/>
      <c r="B289" s="12" t="s">
        <v>80</v>
      </c>
      <c r="C289" s="31">
        <f>AC298+C285</f>
        <v>0</v>
      </c>
      <c r="E289" s="4" t="s">
        <v>86</v>
      </c>
      <c r="F289" s="49">
        <f t="shared" ref="F289:F290" si="69">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c r="A290" s="324"/>
      <c r="B290" s="12" t="s">
        <v>81</v>
      </c>
      <c r="C290" s="31">
        <f>AC299+C286</f>
        <v>0</v>
      </c>
      <c r="E290" s="4" t="s">
        <v>87</v>
      </c>
      <c r="F290" s="49">
        <f t="shared" si="69"/>
        <v>-1.5140522978898116E-7</v>
      </c>
      <c r="G290" s="46" t="s">
        <v>116</v>
      </c>
      <c r="H290" s="29">
        <f>CS_9!B31</f>
        <v>6604791666.666667</v>
      </c>
      <c r="AB290" s="5"/>
      <c r="AU290" s="5" t="s">
        <v>67</v>
      </c>
      <c r="AZ290" s="5" t="s">
        <v>92</v>
      </c>
      <c r="BE290" s="5" t="s">
        <v>97</v>
      </c>
      <c r="BJ290" s="5" t="s">
        <v>97</v>
      </c>
    </row>
    <row r="291" spans="1:62" ht="30">
      <c r="A291" s="324"/>
      <c r="B291" s="69" t="s">
        <v>106</v>
      </c>
      <c r="E291" s="301" t="s">
        <v>294</v>
      </c>
      <c r="F291" s="315"/>
      <c r="G291" s="309" t="s">
        <v>293</v>
      </c>
      <c r="H291" s="310"/>
      <c r="I291" s="310"/>
      <c r="J291" s="310"/>
      <c r="K291" s="310"/>
      <c r="L291" s="311"/>
      <c r="M291" s="93" t="s">
        <v>295</v>
      </c>
      <c r="N291" s="84" t="s">
        <v>248</v>
      </c>
      <c r="AE291" s="45" t="s">
        <v>227</v>
      </c>
      <c r="AF291" s="91">
        <v>1E-3</v>
      </c>
      <c r="AG291" s="45"/>
      <c r="AH291" s="45"/>
      <c r="AI291" s="45"/>
      <c r="AJ291" s="45" t="s">
        <v>93</v>
      </c>
      <c r="AK291" s="92">
        <v>1E-3</v>
      </c>
      <c r="AL291" s="7"/>
      <c r="AM291" s="7"/>
      <c r="AN291" s="45"/>
      <c r="AO291" s="45" t="s">
        <v>226</v>
      </c>
      <c r="AP291" s="91">
        <v>1E-3</v>
      </c>
      <c r="AU291" s="7" t="s">
        <v>0</v>
      </c>
      <c r="AV291" s="7" t="s">
        <v>1</v>
      </c>
      <c r="AW291" s="7" t="s">
        <v>2</v>
      </c>
      <c r="AZ291" s="7" t="s">
        <v>0</v>
      </c>
      <c r="BA291" s="7" t="s">
        <v>1</v>
      </c>
      <c r="BB291" s="7" t="s">
        <v>2</v>
      </c>
      <c r="BE291" s="7" t="s">
        <v>0</v>
      </c>
      <c r="BF291" s="7" t="s">
        <v>1</v>
      </c>
      <c r="BG291" s="7" t="s">
        <v>2</v>
      </c>
    </row>
    <row r="292" spans="1:62" ht="15" customHeight="1">
      <c r="A292" s="324"/>
      <c r="B292" s="41" t="s">
        <v>100</v>
      </c>
      <c r="C292" s="43">
        <f t="array" ref="C292:C295">MMULT(O264:R267,E268:E271)</f>
        <v>0</v>
      </c>
      <c r="E292" s="46" t="s">
        <v>84</v>
      </c>
      <c r="F292" s="49">
        <f t="array" ref="F292:F297">MMULT(G292:L297,M292:M297)</f>
        <v>0</v>
      </c>
      <c r="G292" s="132">
        <f>CS_9!G5</f>
        <v>0</v>
      </c>
      <c r="H292" s="132">
        <f>CS_9!H5</f>
        <v>0</v>
      </c>
      <c r="I292" s="132">
        <f>CS_9!I5</f>
        <v>0</v>
      </c>
      <c r="J292" s="132">
        <f>CS_9!J5</f>
        <v>0</v>
      </c>
      <c r="K292" s="132">
        <f>CS_9!K5</f>
        <v>0</v>
      </c>
      <c r="L292" s="132">
        <f>CS_9!L5</f>
        <v>0</v>
      </c>
      <c r="M292" s="29">
        <f>C292</f>
        <v>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c r="A293" s="324"/>
      <c r="B293" s="41" t="s">
        <v>101</v>
      </c>
      <c r="C293" s="43">
        <v>-100</v>
      </c>
      <c r="E293" s="46" t="s">
        <v>112</v>
      </c>
      <c r="F293" s="49">
        <v>0</v>
      </c>
      <c r="G293" s="132">
        <f>CS_9!G6</f>
        <v>0</v>
      </c>
      <c r="H293" s="132">
        <f>CS_9!H6</f>
        <v>0</v>
      </c>
      <c r="I293" s="132">
        <f>CS_9!I6</f>
        <v>0</v>
      </c>
      <c r="J293" s="132">
        <f>CS_9!J6</f>
        <v>0</v>
      </c>
      <c r="K293" s="132">
        <f>CS_9!K6</f>
        <v>0</v>
      </c>
      <c r="L293" s="132">
        <f>CS_9!L6</f>
        <v>0</v>
      </c>
      <c r="M293" s="29">
        <f t="shared" ref="M293:M294" si="70">C293</f>
        <v>-100</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c r="A294" s="324"/>
      <c r="B294" s="41" t="s">
        <v>102</v>
      </c>
      <c r="C294" s="43">
        <v>0</v>
      </c>
      <c r="E294" s="46" t="s">
        <v>113</v>
      </c>
      <c r="F294" s="49">
        <v>0</v>
      </c>
      <c r="G294" s="132">
        <f>CS_9!G7</f>
        <v>0</v>
      </c>
      <c r="H294" s="132">
        <f>CS_9!H7</f>
        <v>0</v>
      </c>
      <c r="I294" s="132">
        <f>CS_9!I7</f>
        <v>0</v>
      </c>
      <c r="J294" s="132">
        <f>CS_9!J7</f>
        <v>0</v>
      </c>
      <c r="K294" s="132">
        <f>CS_9!K7</f>
        <v>0</v>
      </c>
      <c r="L294" s="132">
        <f>CS_9!L7</f>
        <v>0</v>
      </c>
      <c r="M294" s="29">
        <f t="shared" si="70"/>
        <v>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c r="A295" s="324"/>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c r="A296" s="324"/>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c r="A297" s="324"/>
      <c r="B297" s="41" t="s">
        <v>104</v>
      </c>
      <c r="C297" s="43">
        <v>0</v>
      </c>
      <c r="E297" s="4" t="s">
        <v>87</v>
      </c>
      <c r="F297" s="49">
        <v>0</v>
      </c>
      <c r="G297" s="132">
        <f>CS_9!G10</f>
        <v>0</v>
      </c>
      <c r="H297" s="132">
        <f>CS_9!H10</f>
        <v>0</v>
      </c>
      <c r="I297" s="132">
        <f>CS_9!I10</f>
        <v>0</v>
      </c>
      <c r="J297" s="132">
        <f>CS_9!J10</f>
        <v>0</v>
      </c>
      <c r="K297" s="132">
        <f>CS_9!K10</f>
        <v>0</v>
      </c>
      <c r="L297" s="132">
        <f>CS_9!L10</f>
        <v>0</v>
      </c>
      <c r="M297" s="29">
        <f>C298</f>
        <v>-1.4551915228366852E-11</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c r="A298" s="324"/>
      <c r="B298" s="41" t="s">
        <v>105</v>
      </c>
      <c r="C298" s="43">
        <v>-1.4551915228366852E-11</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c r="A299" s="324"/>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 thickBot="1">
      <c r="A300" s="325"/>
      <c r="B300" s="77" t="s">
        <v>183</v>
      </c>
      <c r="C300"/>
      <c r="D300" s="89" t="s">
        <v>246</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c r="A301" s="120"/>
      <c r="B301" s="41" t="s">
        <v>100</v>
      </c>
      <c r="C301" s="42">
        <v>0</v>
      </c>
      <c r="D301" s="41" t="s">
        <v>100</v>
      </c>
      <c r="E301" s="43">
        <f>C292+C301</f>
        <v>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c r="A302" s="120"/>
      <c r="B302" s="41" t="s">
        <v>101</v>
      </c>
      <c r="C302" s="42">
        <v>0</v>
      </c>
      <c r="D302" s="41" t="s">
        <v>101</v>
      </c>
      <c r="E302" s="43">
        <f>C293+C302</f>
        <v>-100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c r="A307" s="120"/>
      <c r="B307" s="41" t="s">
        <v>105</v>
      </c>
      <c r="C307" s="42">
        <v>0</v>
      </c>
      <c r="D307" s="41" t="s">
        <v>105</v>
      </c>
      <c r="E307" s="43">
        <f>C298+C307+C293*C251-C292*C252</f>
        <v>-1000.0000000000146</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 thickBot="1">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c r="A309" s="316" t="s">
        <v>332</v>
      </c>
      <c r="B309" s="68" t="s">
        <v>250</v>
      </c>
      <c r="E309" s="1" t="s">
        <v>149</v>
      </c>
    </row>
    <row r="310" spans="1:44" ht="15" customHeight="1">
      <c r="A310" s="316"/>
      <c r="B310" s="12" t="s">
        <v>73</v>
      </c>
      <c r="C310" s="56">
        <f>C288</f>
        <v>20</v>
      </c>
      <c r="E310" s="301" t="s">
        <v>138</v>
      </c>
      <c r="F310" s="301"/>
      <c r="G310" s="301" t="s">
        <v>139</v>
      </c>
      <c r="H310" s="301"/>
      <c r="N310" s="34" t="s">
        <v>98</v>
      </c>
      <c r="O310" s="1"/>
      <c r="P310" s="67"/>
      <c r="Q310" s="1"/>
      <c r="R310" s="1"/>
      <c r="S310" s="34" t="s">
        <v>136</v>
      </c>
      <c r="Y310" s="94" t="s">
        <v>297</v>
      </c>
    </row>
    <row r="311" spans="1:44" ht="15" customHeight="1">
      <c r="A311" s="316"/>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c r="A312" s="316"/>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0</v>
      </c>
      <c r="Z312" s="29">
        <f>F321*O326</f>
        <v>0</v>
      </c>
      <c r="AA312" s="29">
        <f>F322*P326</f>
        <v>0</v>
      </c>
      <c r="AB312" s="29">
        <f>F323*Q326</f>
        <v>3.0281043428522311E-9</v>
      </c>
    </row>
    <row r="313" spans="1:44" ht="15" customHeight="1">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-3.8639876352395674E-5</v>
      </c>
      <c r="Z313" s="29">
        <f>F321*O327</f>
        <v>0</v>
      </c>
      <c r="AA313" s="29">
        <f>F322*P327</f>
        <v>0</v>
      </c>
      <c r="AB313" s="29">
        <f>F323*Q327</f>
        <v>-6.0562081821910533E-6</v>
      </c>
    </row>
    <row r="314" spans="1:44" ht="15" customHeight="1">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0</v>
      </c>
      <c r="Z314" s="29">
        <f>F321*O328</f>
        <v>0</v>
      </c>
      <c r="AA314" s="29">
        <f>F322*P328</f>
        <v>0</v>
      </c>
      <c r="AB314" s="29">
        <f>F323*Q328</f>
        <v>0</v>
      </c>
    </row>
    <row r="315" spans="1:44" ht="15" customHeight="1">
      <c r="A315" s="318"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c r="A316" s="318"/>
      <c r="B316" s="2" t="s">
        <v>178</v>
      </c>
      <c r="C316" s="37">
        <v>0</v>
      </c>
      <c r="E316" s="4" t="s">
        <v>87</v>
      </c>
      <c r="F316" s="48">
        <f>CS_10!B50</f>
        <v>1.0000000000000007E-4</v>
      </c>
      <c r="G316" s="4" t="s">
        <v>87</v>
      </c>
      <c r="H316" s="48">
        <f>CS_10!B57</f>
        <v>0</v>
      </c>
      <c r="X316" s="6"/>
    </row>
    <row r="317" spans="1:44" ht="15" customHeight="1">
      <c r="A317" s="318"/>
      <c r="B317" s="2" t="s">
        <v>245</v>
      </c>
      <c r="C317" s="37">
        <v>10</v>
      </c>
      <c r="E317" s="301" t="s">
        <v>247</v>
      </c>
      <c r="F317" s="301"/>
      <c r="G317" s="301" t="s">
        <v>251</v>
      </c>
      <c r="H317" s="301"/>
      <c r="N317" s="34" t="s">
        <v>99</v>
      </c>
      <c r="O317" s="1"/>
      <c r="P317" s="67"/>
      <c r="Q317" s="1"/>
      <c r="R317" s="1"/>
      <c r="S317" s="34" t="s">
        <v>137</v>
      </c>
      <c r="X317" s="6"/>
      <c r="Y317" s="94" t="s">
        <v>296</v>
      </c>
    </row>
    <row r="318" spans="1:44" ht="15" customHeight="1">
      <c r="A318" s="318"/>
      <c r="B318" s="2" t="s">
        <v>77</v>
      </c>
      <c r="C318" s="38">
        <v>0</v>
      </c>
      <c r="E318" s="46" t="s">
        <v>84</v>
      </c>
      <c r="F318" s="49">
        <f>E334/IF(H318=0,1000000000000,H318)</f>
        <v>0</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c r="A319" s="312" t="s">
        <v>134</v>
      </c>
      <c r="B319" s="2" t="s">
        <v>107</v>
      </c>
      <c r="C319" s="37">
        <v>0</v>
      </c>
      <c r="E319" s="46" t="s">
        <v>112</v>
      </c>
      <c r="F319" s="49">
        <f t="shared" ref="F319:F320" si="76">E335/IF(H319=0,1000000000000,H319)</f>
        <v>-3.8639876352395674E-5</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0</v>
      </c>
      <c r="Z319" s="29">
        <f t="array" ref="Z319:Z322">MMULT(T330:W333,Z312:Z315)</f>
        <v>0</v>
      </c>
      <c r="AA319" s="29">
        <f t="array" ref="AA319:AA322">MMULT(T330:W333,AA312:AA315)</f>
        <v>0</v>
      </c>
      <c r="AB319" s="29">
        <f t="array" ref="AB319:AB322">MMULT(T330:W333,AB312:AB315)</f>
        <v>3.0281043428522311E-9</v>
      </c>
    </row>
    <row r="320" spans="1:44" ht="15" customHeight="1">
      <c r="A320" s="313"/>
      <c r="B320" s="34" t="s">
        <v>78</v>
      </c>
      <c r="E320" s="46" t="s">
        <v>113</v>
      </c>
      <c r="F320" s="49">
        <f t="shared" si="76"/>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-3.8639876352395674E-5</v>
      </c>
      <c r="Z320" s="29">
        <v>0</v>
      </c>
      <c r="AA320" s="29">
        <v>0</v>
      </c>
      <c r="AB320" s="29">
        <v>-6.0562081821910533E-6</v>
      </c>
    </row>
    <row r="321" spans="1:62" ht="15" customHeight="1">
      <c r="A321" s="313"/>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c r="A322" s="313"/>
      <c r="B322" s="12" t="s">
        <v>80</v>
      </c>
      <c r="C322" s="31">
        <f>AC331+C318</f>
        <v>0</v>
      </c>
      <c r="E322" s="4" t="s">
        <v>86</v>
      </c>
      <c r="F322" s="49">
        <f t="shared" ref="F322:F323" si="77">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c r="A323" s="313"/>
      <c r="B323" s="12" t="s">
        <v>81</v>
      </c>
      <c r="C323" s="31">
        <f>AC332+C319</f>
        <v>0</v>
      </c>
      <c r="E323" s="4" t="s">
        <v>87</v>
      </c>
      <c r="F323" s="49">
        <f t="shared" si="77"/>
        <v>-3.0281045957796009E-7</v>
      </c>
      <c r="G323" s="46" t="s">
        <v>116</v>
      </c>
      <c r="H323" s="29">
        <f>CS_10!B31</f>
        <v>6604791666.666667</v>
      </c>
      <c r="AB323" s="5"/>
      <c r="AU323" s="5" t="s">
        <v>67</v>
      </c>
      <c r="AZ323" s="5" t="s">
        <v>92</v>
      </c>
      <c r="BE323" s="5" t="s">
        <v>97</v>
      </c>
      <c r="BJ323" s="5" t="s">
        <v>97</v>
      </c>
    </row>
    <row r="324" spans="1:62" ht="30">
      <c r="A324" s="313"/>
      <c r="B324" s="69" t="s">
        <v>106</v>
      </c>
      <c r="E324" s="301" t="s">
        <v>294</v>
      </c>
      <c r="F324" s="315"/>
      <c r="G324" s="309" t="s">
        <v>293</v>
      </c>
      <c r="H324" s="310"/>
      <c r="I324" s="310"/>
      <c r="J324" s="310"/>
      <c r="K324" s="310"/>
      <c r="L324" s="311"/>
      <c r="M324" s="93" t="s">
        <v>295</v>
      </c>
      <c r="N324" s="84" t="s">
        <v>248</v>
      </c>
      <c r="AE324" s="45" t="s">
        <v>227</v>
      </c>
      <c r="AF324" s="91">
        <v>1E-3</v>
      </c>
      <c r="AG324" s="45"/>
      <c r="AH324" s="45"/>
      <c r="AI324" s="45"/>
      <c r="AJ324" s="45" t="s">
        <v>93</v>
      </c>
      <c r="AK324" s="92">
        <v>1E-3</v>
      </c>
      <c r="AL324" s="7"/>
      <c r="AM324" s="7"/>
      <c r="AN324" s="45"/>
      <c r="AO324" s="45" t="s">
        <v>226</v>
      </c>
      <c r="AP324" s="91">
        <v>1E-3</v>
      </c>
      <c r="AU324" s="7" t="s">
        <v>0</v>
      </c>
      <c r="AV324" s="7" t="s">
        <v>1</v>
      </c>
      <c r="AW324" s="7" t="s">
        <v>2</v>
      </c>
      <c r="AZ324" s="7" t="s">
        <v>0</v>
      </c>
      <c r="BA324" s="7" t="s">
        <v>1</v>
      </c>
      <c r="BB324" s="7" t="s">
        <v>2</v>
      </c>
      <c r="BE324" s="7" t="s">
        <v>0</v>
      </c>
      <c r="BF324" s="7" t="s">
        <v>1</v>
      </c>
      <c r="BG324" s="7" t="s">
        <v>2</v>
      </c>
    </row>
    <row r="325" spans="1:62" ht="15" customHeight="1">
      <c r="A325" s="313"/>
      <c r="B325" s="41" t="s">
        <v>100</v>
      </c>
      <c r="C325" s="43">
        <f t="array" ref="C325:C328">MMULT(O297:R300,E301:E304)</f>
        <v>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c r="A326" s="313"/>
      <c r="B326" s="41" t="s">
        <v>101</v>
      </c>
      <c r="C326" s="43">
        <v>-100</v>
      </c>
      <c r="E326" s="46" t="s">
        <v>112</v>
      </c>
      <c r="F326" s="49">
        <v>0</v>
      </c>
      <c r="G326" s="132">
        <f>CS_10!G6</f>
        <v>0</v>
      </c>
      <c r="H326" s="132">
        <f>CS_10!H6</f>
        <v>0</v>
      </c>
      <c r="I326" s="132">
        <f>CS_10!I6</f>
        <v>0</v>
      </c>
      <c r="J326" s="132">
        <f>CS_10!J6</f>
        <v>0</v>
      </c>
      <c r="K326" s="132">
        <f>CS_10!K6</f>
        <v>0</v>
      </c>
      <c r="L326" s="132">
        <f>CS_10!L6</f>
        <v>0</v>
      </c>
      <c r="M326" s="29">
        <f t="shared" ref="M326:M327" si="78">C326</f>
        <v>-100</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c r="A327" s="313"/>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78"/>
        <v>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c r="A328" s="313"/>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c r="A329" s="313"/>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c r="A330" s="313"/>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-1000.0000000000146</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c r="A331" s="313"/>
      <c r="B331" s="41" t="s">
        <v>105</v>
      </c>
      <c r="C331" s="43">
        <v>-1000.0000000000146</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c r="A332" s="313"/>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c r="A333" s="313"/>
      <c r="B333" s="77" t="s">
        <v>183</v>
      </c>
      <c r="C333"/>
      <c r="D333" s="89" t="s">
        <v>246</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c r="A334" s="313"/>
      <c r="B334" s="41" t="s">
        <v>100</v>
      </c>
      <c r="C334" s="42">
        <v>0</v>
      </c>
      <c r="D334" s="41" t="s">
        <v>100</v>
      </c>
      <c r="E334" s="43">
        <f>C325+C334</f>
        <v>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c r="A335" s="313"/>
      <c r="B335" s="41" t="s">
        <v>101</v>
      </c>
      <c r="C335" s="42">
        <v>0</v>
      </c>
      <c r="D335" s="41" t="s">
        <v>101</v>
      </c>
      <c r="E335" s="43">
        <f>C326+C335</f>
        <v>-100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c r="A336" s="313"/>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c r="A337" s="313"/>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c r="A338" s="313"/>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c r="A339" s="313"/>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c r="A340" s="313"/>
      <c r="B340" s="41" t="s">
        <v>105</v>
      </c>
      <c r="C340" s="42">
        <v>0</v>
      </c>
      <c r="D340" s="41" t="s">
        <v>105</v>
      </c>
      <c r="E340" s="43">
        <f>C331+C340+C326*C284-C325*C285</f>
        <v>-2000.0000000000146</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 thickBot="1">
      <c r="A341" s="314"/>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c r="S358" s="26"/>
    </row>
    <row r="362" spans="19:23">
      <c r="T362" s="29" t="s">
        <v>126</v>
      </c>
    </row>
    <row r="363" spans="19:23">
      <c r="T363" s="61">
        <v>1</v>
      </c>
      <c r="U363" s="62">
        <v>0</v>
      </c>
      <c r="V363" s="62">
        <v>0</v>
      </c>
      <c r="W363" s="63">
        <v>0</v>
      </c>
    </row>
    <row r="364" spans="19:23">
      <c r="T364" s="28">
        <v>0</v>
      </c>
      <c r="U364" s="32">
        <v>1</v>
      </c>
      <c r="V364" s="32">
        <v>0</v>
      </c>
      <c r="W364" s="30">
        <v>0</v>
      </c>
    </row>
    <row r="365" spans="19:23">
      <c r="T365" s="28">
        <v>0</v>
      </c>
      <c r="U365" s="32">
        <v>0</v>
      </c>
      <c r="V365" s="32">
        <v>1</v>
      </c>
      <c r="W365" s="30">
        <v>0</v>
      </c>
    </row>
    <row r="366" spans="19:23">
      <c r="T366" s="64">
        <v>0</v>
      </c>
      <c r="U366" s="65">
        <v>0</v>
      </c>
      <c r="V366" s="65">
        <v>0</v>
      </c>
      <c r="W366" s="66">
        <v>1</v>
      </c>
    </row>
  </sheetData>
  <sheetProtection selectLockedCells="1"/>
  <mergeCells count="115">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1" sqref="B21:D21"/>
    </sheetView>
  </sheetViews>
  <sheetFormatPr baseColWidth="10" defaultColWidth="11" defaultRowHeight="15" x14ac:dyDescent="0"/>
  <cols>
    <col min="4" max="4" width="40.6640625" customWidth="1"/>
  </cols>
  <sheetData>
    <row r="1" spans="1:4">
      <c r="A1" s="1" t="s">
        <v>389</v>
      </c>
    </row>
    <row r="5" spans="1:4" s="1" customFormat="1">
      <c r="A5" s="1" t="s">
        <v>173</v>
      </c>
      <c r="B5" s="1" t="s">
        <v>172</v>
      </c>
      <c r="C5" s="1" t="s">
        <v>170</v>
      </c>
      <c r="D5" s="1" t="s">
        <v>174</v>
      </c>
    </row>
    <row r="6" spans="1:4">
      <c r="A6">
        <v>1</v>
      </c>
      <c r="B6" t="s">
        <v>191</v>
      </c>
      <c r="C6" t="s">
        <v>192</v>
      </c>
      <c r="D6" t="s">
        <v>193</v>
      </c>
    </row>
    <row r="7" spans="1:4">
      <c r="A7">
        <f>A6+1</f>
        <v>2</v>
      </c>
      <c r="B7" t="s">
        <v>197</v>
      </c>
      <c r="C7" t="s">
        <v>192</v>
      </c>
      <c r="D7" t="s">
        <v>198</v>
      </c>
    </row>
    <row r="8" spans="1:4">
      <c r="A8">
        <f t="shared" ref="A8:A37" si="0">A7+1</f>
        <v>3</v>
      </c>
      <c r="B8" t="s">
        <v>199</v>
      </c>
      <c r="C8" t="s">
        <v>192</v>
      </c>
      <c r="D8" t="s">
        <v>200</v>
      </c>
    </row>
    <row r="9" spans="1:4">
      <c r="A9">
        <f t="shared" si="0"/>
        <v>4</v>
      </c>
      <c r="B9" t="s">
        <v>204</v>
      </c>
      <c r="C9" t="s">
        <v>192</v>
      </c>
      <c r="D9" t="s">
        <v>205</v>
      </c>
    </row>
    <row r="10" spans="1:4">
      <c r="A10">
        <f t="shared" si="0"/>
        <v>5</v>
      </c>
      <c r="B10" t="s">
        <v>206</v>
      </c>
      <c r="C10" t="s">
        <v>192</v>
      </c>
      <c r="D10" s="45" t="s">
        <v>209</v>
      </c>
    </row>
    <row r="11" spans="1:4">
      <c r="A11">
        <f t="shared" si="0"/>
        <v>6</v>
      </c>
      <c r="B11" t="s">
        <v>210</v>
      </c>
      <c r="C11" t="s">
        <v>192</v>
      </c>
      <c r="D11" t="s">
        <v>211</v>
      </c>
    </row>
    <row r="12" spans="1:4">
      <c r="A12">
        <f t="shared" si="0"/>
        <v>7</v>
      </c>
      <c r="B12" t="s">
        <v>225</v>
      </c>
      <c r="C12" t="s">
        <v>192</v>
      </c>
      <c r="D12" t="s">
        <v>300</v>
      </c>
    </row>
    <row r="13" spans="1:4">
      <c r="A13">
        <f t="shared" si="0"/>
        <v>8</v>
      </c>
      <c r="B13" t="s">
        <v>301</v>
      </c>
      <c r="C13" t="s">
        <v>192</v>
      </c>
      <c r="D13" t="s">
        <v>302</v>
      </c>
    </row>
    <row r="14" spans="1:4">
      <c r="A14">
        <f t="shared" si="0"/>
        <v>9</v>
      </c>
      <c r="B14" t="s">
        <v>299</v>
      </c>
      <c r="C14" t="s">
        <v>192</v>
      </c>
      <c r="D14" t="s">
        <v>338</v>
      </c>
    </row>
    <row r="15" spans="1:4">
      <c r="A15">
        <f t="shared" si="0"/>
        <v>10</v>
      </c>
      <c r="B15" t="s">
        <v>382</v>
      </c>
      <c r="C15" t="s">
        <v>192</v>
      </c>
      <c r="D15" t="s">
        <v>383</v>
      </c>
    </row>
    <row r="16" spans="1:4">
      <c r="A16">
        <f t="shared" si="0"/>
        <v>11</v>
      </c>
      <c r="B16" t="s">
        <v>390</v>
      </c>
      <c r="C16" t="s">
        <v>192</v>
      </c>
      <c r="D16" t="s">
        <v>391</v>
      </c>
    </row>
    <row r="17" spans="1:4">
      <c r="A17">
        <f t="shared" si="0"/>
        <v>12</v>
      </c>
      <c r="B17" t="s">
        <v>390</v>
      </c>
      <c r="C17" t="s">
        <v>192</v>
      </c>
      <c r="D17" t="s">
        <v>393</v>
      </c>
    </row>
    <row r="18" spans="1:4">
      <c r="A18">
        <f t="shared" si="0"/>
        <v>13</v>
      </c>
      <c r="B18" t="s">
        <v>395</v>
      </c>
      <c r="C18" t="s">
        <v>192</v>
      </c>
      <c r="D18" t="s">
        <v>396</v>
      </c>
    </row>
    <row r="19" spans="1:4">
      <c r="A19">
        <f t="shared" si="0"/>
        <v>14</v>
      </c>
      <c r="B19" t="s">
        <v>397</v>
      </c>
      <c r="C19" t="s">
        <v>192</v>
      </c>
      <c r="D19" t="s">
        <v>398</v>
      </c>
    </row>
    <row r="20" spans="1:4">
      <c r="A20">
        <f t="shared" si="0"/>
        <v>15</v>
      </c>
      <c r="B20" t="s">
        <v>397</v>
      </c>
      <c r="C20" t="s">
        <v>192</v>
      </c>
      <c r="D20" t="s">
        <v>399</v>
      </c>
    </row>
    <row r="21" spans="1:4">
      <c r="A21">
        <f t="shared" si="0"/>
        <v>16</v>
      </c>
      <c r="B21" t="s">
        <v>397</v>
      </c>
      <c r="C21" t="s">
        <v>192</v>
      </c>
      <c r="D21" t="s">
        <v>402</v>
      </c>
    </row>
    <row r="22" spans="1:4">
      <c r="A22">
        <f t="shared" si="0"/>
        <v>17</v>
      </c>
    </row>
    <row r="23" spans="1:4">
      <c r="A23">
        <f t="shared" si="0"/>
        <v>18</v>
      </c>
    </row>
    <row r="24" spans="1:4">
      <c r="A24">
        <f t="shared" si="0"/>
        <v>19</v>
      </c>
    </row>
    <row r="25" spans="1:4">
      <c r="A25">
        <f t="shared" si="0"/>
        <v>20</v>
      </c>
    </row>
    <row r="26" spans="1:4">
      <c r="A26">
        <f t="shared" si="0"/>
        <v>21</v>
      </c>
    </row>
    <row r="27" spans="1:4">
      <c r="A27">
        <f t="shared" si="0"/>
        <v>22</v>
      </c>
    </row>
    <row r="28" spans="1:4">
      <c r="A28">
        <f t="shared" si="0"/>
        <v>23</v>
      </c>
    </row>
    <row r="29" spans="1:4">
      <c r="A29">
        <f t="shared" si="0"/>
        <v>24</v>
      </c>
    </row>
    <row r="30" spans="1:4">
      <c r="A30">
        <f t="shared" si="0"/>
        <v>25</v>
      </c>
    </row>
    <row r="31" spans="1:4">
      <c r="A31">
        <f t="shared" si="0"/>
        <v>26</v>
      </c>
    </row>
    <row r="32" spans="1:4">
      <c r="A32">
        <f t="shared" si="0"/>
        <v>27</v>
      </c>
    </row>
    <row r="33" spans="1:1">
      <c r="A33">
        <f t="shared" si="0"/>
        <v>28</v>
      </c>
    </row>
    <row r="34" spans="1:1">
      <c r="A34">
        <f t="shared" si="0"/>
        <v>29</v>
      </c>
    </row>
    <row r="35" spans="1:1">
      <c r="A35">
        <f t="shared" si="0"/>
        <v>30</v>
      </c>
    </row>
    <row r="36" spans="1:1">
      <c r="A36">
        <f t="shared" si="0"/>
        <v>31</v>
      </c>
    </row>
    <row r="37" spans="1:1">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200" zoomScaleNormal="200" zoomScalePageLayoutView="200" workbookViewId="0">
      <selection activeCell="B11" sqref="B11:B19"/>
    </sheetView>
  </sheetViews>
  <sheetFormatPr baseColWidth="10" defaultColWidth="11" defaultRowHeight="15" x14ac:dyDescent="0"/>
  <cols>
    <col min="1" max="1" width="45.33203125" style="81" customWidth="1"/>
    <col min="2" max="2" width="13.6640625" style="81" customWidth="1"/>
    <col min="3" max="3" width="34.1640625" style="154" customWidth="1"/>
    <col min="4" max="4" width="12" style="154" customWidth="1"/>
    <col min="5" max="6" width="7.1640625" style="154" customWidth="1"/>
    <col min="7" max="12" width="9.6640625" style="81" customWidth="1"/>
    <col min="13" max="13" width="6.33203125" style="81" customWidth="1"/>
    <col min="14" max="14" width="12.1640625" style="81" bestFit="1" customWidth="1"/>
    <col min="15" max="16384" width="11" style="81"/>
  </cols>
  <sheetData>
    <row r="1" spans="1:18">
      <c r="A1" s="207" t="str">
        <f>'CSs and Loads'!A12</f>
        <v>CS 1</v>
      </c>
      <c r="B1" s="207" t="str">
        <f>'CSs and Loads'!A22</f>
        <v>desk vertical motion carriage/table</v>
      </c>
      <c r="C1" s="258"/>
      <c r="D1" s="258"/>
      <c r="E1" s="258"/>
      <c r="F1" s="258"/>
    </row>
    <row r="2" spans="1:18" ht="16" thickBot="1">
      <c r="A2" s="82" t="s">
        <v>132</v>
      </c>
      <c r="E2" s="264"/>
      <c r="F2" s="264"/>
      <c r="G2" s="176"/>
      <c r="H2" s="176"/>
      <c r="J2" s="176"/>
      <c r="K2" s="176"/>
      <c r="L2" s="245"/>
      <c r="M2" s="245"/>
      <c r="N2" s="209"/>
    </row>
    <row r="3" spans="1:18">
      <c r="A3" s="210" t="s">
        <v>111</v>
      </c>
      <c r="D3" s="263"/>
      <c r="E3" s="327" t="s">
        <v>379</v>
      </c>
      <c r="F3" s="328"/>
      <c r="G3" s="328"/>
      <c r="H3" s="328"/>
      <c r="I3" s="328"/>
      <c r="J3" s="328"/>
      <c r="K3" s="328"/>
      <c r="L3" s="328"/>
      <c r="M3" s="329"/>
      <c r="N3" s="181"/>
      <c r="O3" s="211"/>
      <c r="P3" s="211"/>
      <c r="Q3" s="211"/>
      <c r="R3" s="211"/>
    </row>
    <row r="4" spans="1:18">
      <c r="A4" s="210" t="s">
        <v>321</v>
      </c>
      <c r="B4" s="177" t="s">
        <v>322</v>
      </c>
      <c r="C4" s="278" t="s">
        <v>376</v>
      </c>
      <c r="D4" s="279"/>
      <c r="E4" s="335" t="s">
        <v>318</v>
      </c>
      <c r="F4" s="336"/>
      <c r="G4" s="336"/>
      <c r="H4" s="336"/>
      <c r="I4" s="336"/>
      <c r="J4" s="336"/>
      <c r="K4" s="336"/>
      <c r="L4" s="336"/>
      <c r="M4" s="337"/>
      <c r="N4" s="181"/>
      <c r="R4" s="211"/>
    </row>
    <row r="5" spans="1:18">
      <c r="A5" s="259" t="s">
        <v>341</v>
      </c>
      <c r="B5" s="177" t="s">
        <v>310</v>
      </c>
      <c r="C5" s="280" t="s">
        <v>374</v>
      </c>
      <c r="D5" s="279">
        <v>25</v>
      </c>
      <c r="E5" s="266" t="s">
        <v>282</v>
      </c>
      <c r="F5" s="333" t="s">
        <v>285</v>
      </c>
      <c r="G5" s="223">
        <f>B12/(B7*B16)</f>
        <v>1.4467592592592592E-6</v>
      </c>
      <c r="H5" s="209">
        <v>0</v>
      </c>
      <c r="I5" s="209">
        <v>0</v>
      </c>
      <c r="J5" s="209">
        <v>0</v>
      </c>
      <c r="K5" s="209">
        <v>0</v>
      </c>
      <c r="L5" s="209">
        <v>0</v>
      </c>
      <c r="M5" s="267" t="s">
        <v>276</v>
      </c>
      <c r="N5" s="181"/>
      <c r="R5" s="211"/>
    </row>
    <row r="6" spans="1:18">
      <c r="A6" s="259" t="s">
        <v>344</v>
      </c>
      <c r="B6" s="177" t="s">
        <v>311</v>
      </c>
      <c r="C6" s="280" t="s">
        <v>32</v>
      </c>
      <c r="D6" s="279">
        <f>1770*9.8</f>
        <v>17346</v>
      </c>
      <c r="E6" s="266" t="s">
        <v>283</v>
      </c>
      <c r="F6" s="333"/>
      <c r="G6" s="209">
        <v>0</v>
      </c>
      <c r="H6" s="223">
        <f>B12^3/(3*B7*B18)</f>
        <v>9.2907072710710266E-5</v>
      </c>
      <c r="I6" s="209">
        <v>0</v>
      </c>
      <c r="J6" s="209">
        <v>0</v>
      </c>
      <c r="K6" s="209">
        <v>0</v>
      </c>
      <c r="L6" s="152">
        <f>B12^2/(2*B7*B18)</f>
        <v>1.393606090660654E-7</v>
      </c>
      <c r="M6" s="267" t="s">
        <v>277</v>
      </c>
      <c r="N6" s="181"/>
      <c r="R6" s="211"/>
    </row>
    <row r="7" spans="1:18">
      <c r="A7" s="260" t="s">
        <v>291</v>
      </c>
      <c r="B7" s="291">
        <v>200000</v>
      </c>
      <c r="C7" s="280" t="s">
        <v>243</v>
      </c>
      <c r="D7" s="279">
        <f>647*1000</f>
        <v>647000</v>
      </c>
      <c r="E7" s="266" t="s">
        <v>284</v>
      </c>
      <c r="F7" s="333"/>
      <c r="G7" s="209">
        <v>0</v>
      </c>
      <c r="H7" s="209">
        <v>0</v>
      </c>
      <c r="I7" s="223">
        <f>B12^3/(3*B7*B17)</f>
        <v>2.7822887953446299E-4</v>
      </c>
      <c r="J7" s="209">
        <v>0</v>
      </c>
      <c r="K7" s="105">
        <f>-1*B12^2/(2*B7*B17)</f>
        <v>-4.1734331930169447E-7</v>
      </c>
      <c r="L7" s="209">
        <v>0</v>
      </c>
      <c r="M7" s="267" t="s">
        <v>278</v>
      </c>
      <c r="N7" s="181"/>
      <c r="R7" s="211"/>
    </row>
    <row r="8" spans="1:18">
      <c r="A8" s="260" t="s">
        <v>287</v>
      </c>
      <c r="B8" s="210">
        <v>0.28999999999999998</v>
      </c>
      <c r="C8" s="280" t="s">
        <v>33</v>
      </c>
      <c r="D8" s="279">
        <v>3</v>
      </c>
      <c r="E8" s="266" t="s">
        <v>273</v>
      </c>
      <c r="F8" s="333"/>
      <c r="G8" s="209">
        <v>0</v>
      </c>
      <c r="H8" s="209">
        <v>0</v>
      </c>
      <c r="I8" s="209">
        <v>0</v>
      </c>
      <c r="J8" s="223">
        <f>B12/(B7*B19)</f>
        <v>3.6084615247308801E-10</v>
      </c>
      <c r="K8" s="209">
        <v>0</v>
      </c>
      <c r="L8" s="209">
        <v>0</v>
      </c>
      <c r="M8" s="267" t="s">
        <v>279</v>
      </c>
      <c r="N8" s="181"/>
      <c r="R8" s="211"/>
    </row>
    <row r="9" spans="1:18">
      <c r="A9" s="260" t="s">
        <v>292</v>
      </c>
      <c r="B9" s="97">
        <f>B7/(2*(1+B8))</f>
        <v>77519.379844961237</v>
      </c>
      <c r="C9" s="280" t="s">
        <v>34</v>
      </c>
      <c r="D9" s="279">
        <v>0.01</v>
      </c>
      <c r="E9" s="266" t="s">
        <v>275</v>
      </c>
      <c r="F9" s="333"/>
      <c r="G9" s="209">
        <v>0</v>
      </c>
      <c r="H9" s="209">
        <v>0</v>
      </c>
      <c r="I9" s="375">
        <f>K7</f>
        <v>-4.1734331930169447E-7</v>
      </c>
      <c r="J9" s="209">
        <v>0</v>
      </c>
      <c r="K9" s="223">
        <f>B12/(B7*B17)</f>
        <v>8.3468663860338894E-10</v>
      </c>
      <c r="L9" s="209">
        <v>0</v>
      </c>
      <c r="M9" s="267" t="s">
        <v>280</v>
      </c>
      <c r="N9" s="181"/>
      <c r="R9" s="211"/>
    </row>
    <row r="10" spans="1:18" ht="16" thickBot="1">
      <c r="A10" s="209" t="s">
        <v>405</v>
      </c>
      <c r="B10" s="210"/>
      <c r="C10" s="280" t="s">
        <v>288</v>
      </c>
      <c r="D10" s="281">
        <f>D6/(D8*D9)</f>
        <v>578200</v>
      </c>
      <c r="E10" s="268" t="s">
        <v>274</v>
      </c>
      <c r="F10" s="334"/>
      <c r="G10" s="269">
        <v>0</v>
      </c>
      <c r="H10" s="194">
        <f>L6</f>
        <v>1.393606090660654E-7</v>
      </c>
      <c r="I10" s="269">
        <v>0</v>
      </c>
      <c r="J10" s="269">
        <v>0</v>
      </c>
      <c r="K10" s="269">
        <v>0</v>
      </c>
      <c r="L10" s="374">
        <f>J8</f>
        <v>3.6084615247308801E-10</v>
      </c>
      <c r="M10" s="270" t="s">
        <v>281</v>
      </c>
      <c r="N10" s="181"/>
      <c r="P10" s="226"/>
      <c r="R10" s="211"/>
    </row>
    <row r="11" spans="1:18">
      <c r="A11" s="260" t="s">
        <v>351</v>
      </c>
      <c r="B11" s="296">
        <f>'CSs and Loads'!C13</f>
        <v>1000</v>
      </c>
      <c r="C11" s="280" t="s">
        <v>35</v>
      </c>
      <c r="D11" s="278">
        <v>25</v>
      </c>
      <c r="E11" s="265"/>
      <c r="F11" s="265"/>
      <c r="G11" s="163"/>
      <c r="H11" s="163"/>
      <c r="I11" s="257"/>
      <c r="J11" s="257"/>
      <c r="K11" s="257"/>
      <c r="L11" s="257"/>
      <c r="M11" s="257"/>
      <c r="N11" s="209"/>
      <c r="O11" s="261"/>
      <c r="P11" s="209"/>
      <c r="Q11" s="209"/>
      <c r="R11" s="211"/>
    </row>
    <row r="12" spans="1:18">
      <c r="A12" s="260" t="s">
        <v>234</v>
      </c>
      <c r="B12" s="196">
        <v>1000</v>
      </c>
      <c r="C12" s="280" t="s">
        <v>386</v>
      </c>
      <c r="D12" s="282">
        <f>D7*D11^2/4</f>
        <v>101093750</v>
      </c>
      <c r="I12" s="209"/>
      <c r="J12" s="209"/>
      <c r="K12" s="209"/>
      <c r="L12" s="209"/>
      <c r="M12" s="209"/>
      <c r="N12" s="209"/>
      <c r="O12" s="261"/>
      <c r="P12" s="209"/>
      <c r="Q12" s="209"/>
      <c r="R12" s="211"/>
    </row>
    <row r="13" spans="1:18">
      <c r="A13" s="260" t="s">
        <v>348</v>
      </c>
      <c r="B13" s="210">
        <v>200</v>
      </c>
      <c r="C13" s="280" t="s">
        <v>289</v>
      </c>
      <c r="D13" s="282">
        <f>D7*D11^2/12</f>
        <v>33697916.666666664</v>
      </c>
      <c r="I13" s="97"/>
      <c r="J13" s="209"/>
      <c r="K13" s="209"/>
      <c r="L13" s="209"/>
      <c r="M13" s="209"/>
      <c r="N13" s="209"/>
      <c r="O13" s="261"/>
      <c r="P13" s="209"/>
      <c r="Q13" s="209"/>
      <c r="R13" s="211"/>
    </row>
    <row r="14" spans="1:18">
      <c r="A14" s="260" t="s">
        <v>347</v>
      </c>
      <c r="B14" s="372">
        <v>100</v>
      </c>
      <c r="C14" s="280" t="s">
        <v>290</v>
      </c>
      <c r="D14" s="283">
        <f>D13</f>
        <v>33697916.666666664</v>
      </c>
      <c r="I14" s="209"/>
      <c r="J14" s="209"/>
      <c r="K14" s="209"/>
      <c r="L14" s="209"/>
      <c r="M14" s="209"/>
      <c r="N14" s="262"/>
      <c r="O14" s="292"/>
      <c r="P14" s="209"/>
      <c r="Q14" s="209"/>
      <c r="R14" s="211"/>
    </row>
    <row r="15" spans="1:18">
      <c r="A15" s="260" t="s">
        <v>271</v>
      </c>
      <c r="B15" s="210">
        <v>6</v>
      </c>
      <c r="C15" s="284" t="s">
        <v>375</v>
      </c>
      <c r="D15" s="278"/>
      <c r="I15" s="97"/>
      <c r="J15" s="209"/>
      <c r="K15" s="209"/>
      <c r="L15" s="209"/>
      <c r="M15" s="209"/>
      <c r="N15" s="209"/>
      <c r="O15" s="261"/>
      <c r="P15" s="209"/>
      <c r="Q15" s="209"/>
      <c r="R15" s="211"/>
    </row>
    <row r="16" spans="1:18">
      <c r="A16" s="260" t="s">
        <v>272</v>
      </c>
      <c r="B16" s="373">
        <f>B14*B13-(B13-2*B15)*(B14-2*B15)</f>
        <v>3456</v>
      </c>
      <c r="C16" s="285" t="s">
        <v>267</v>
      </c>
      <c r="D16" s="278"/>
      <c r="I16" s="97"/>
      <c r="J16" s="209"/>
      <c r="K16" s="209"/>
      <c r="L16" s="209"/>
      <c r="M16" s="209"/>
      <c r="N16" s="209"/>
      <c r="O16" s="261"/>
      <c r="P16" s="209"/>
      <c r="Q16" s="209"/>
      <c r="R16" s="211"/>
    </row>
    <row r="17" spans="1:19">
      <c r="A17" s="260" t="s">
        <v>400</v>
      </c>
      <c r="B17" s="373">
        <f>(B13*B14^3-(B13-2*B15)*(B14-2*B15)^3     )/12</f>
        <v>5990272</v>
      </c>
      <c r="C17" s="280" t="s">
        <v>269</v>
      </c>
      <c r="D17" s="278">
        <v>11</v>
      </c>
      <c r="I17" s="97"/>
      <c r="J17" s="209"/>
      <c r="K17" s="209"/>
      <c r="L17" s="209"/>
      <c r="M17" s="209"/>
      <c r="N17" s="209"/>
      <c r="O17" s="261"/>
      <c r="P17" s="209"/>
      <c r="Q17" s="209"/>
      <c r="R17" s="211"/>
    </row>
    <row r="18" spans="1:19">
      <c r="A18" s="260" t="s">
        <v>401</v>
      </c>
      <c r="B18" s="373">
        <f>(B13^3*B14-(B13-2*B15)^3*(B14-2*B15)     )/12</f>
        <v>17939072</v>
      </c>
      <c r="C18" s="280" t="s">
        <v>234</v>
      </c>
      <c r="D18" s="278">
        <v>1000</v>
      </c>
      <c r="I18" s="98"/>
      <c r="J18" s="209"/>
      <c r="K18" s="209"/>
      <c r="L18" s="209"/>
      <c r="M18" s="209"/>
      <c r="N18" s="209"/>
      <c r="O18" s="261"/>
      <c r="P18" s="209"/>
      <c r="Q18" s="209"/>
      <c r="R18" s="211"/>
    </row>
    <row r="19" spans="1:19">
      <c r="A19" s="260" t="s">
        <v>236</v>
      </c>
      <c r="B19" s="373">
        <f>2*B15^2*(B13-B15)^2*(B14-B15)^2/( B13*B15+B14*B15-2*B15^2   )</f>
        <v>13856320.666666666</v>
      </c>
      <c r="C19" s="280" t="s">
        <v>54</v>
      </c>
      <c r="D19" s="286">
        <v>200000</v>
      </c>
      <c r="I19" s="210"/>
      <c r="J19" s="209"/>
      <c r="K19" s="209"/>
      <c r="L19" s="209"/>
      <c r="M19" s="209"/>
      <c r="N19" s="209"/>
      <c r="O19" s="261"/>
      <c r="P19" s="209"/>
      <c r="Q19" s="209"/>
      <c r="R19" s="211"/>
    </row>
    <row r="20" spans="1:19">
      <c r="A20" s="260" t="s">
        <v>339</v>
      </c>
      <c r="B20" s="97">
        <f>B18/B16</f>
        <v>5190.7037037037035</v>
      </c>
      <c r="C20" s="280" t="s">
        <v>268</v>
      </c>
      <c r="D20" s="287">
        <f>PI()*D17^2/4*D19/D18</f>
        <v>19006.635554218246</v>
      </c>
      <c r="I20" s="97"/>
      <c r="J20" s="209"/>
      <c r="K20" s="209"/>
      <c r="L20" s="209"/>
      <c r="M20" s="209"/>
      <c r="N20" s="209"/>
      <c r="O20" s="261"/>
      <c r="P20" s="209"/>
      <c r="Q20" s="209"/>
      <c r="R20" s="211"/>
    </row>
    <row r="21" spans="1:19" ht="16" thickBot="1">
      <c r="A21" s="272" t="s">
        <v>352</v>
      </c>
      <c r="B21" s="247">
        <v>5752</v>
      </c>
      <c r="C21" s="288" t="s">
        <v>320</v>
      </c>
      <c r="D21" s="289">
        <v>3</v>
      </c>
      <c r="E21" s="264"/>
      <c r="F21" s="264"/>
      <c r="G21" s="176"/>
      <c r="H21" s="176"/>
      <c r="I21" s="247"/>
      <c r="J21" s="245"/>
      <c r="K21" s="245"/>
      <c r="L21" s="245"/>
      <c r="M21" s="245"/>
      <c r="N21" s="209"/>
      <c r="O21" s="261"/>
      <c r="P21" s="209"/>
      <c r="Q21" s="209"/>
      <c r="R21" s="211"/>
    </row>
    <row r="22" spans="1:19" ht="16" thickBot="1">
      <c r="A22" s="330" t="s">
        <v>387</v>
      </c>
      <c r="B22" s="331"/>
      <c r="C22" s="331"/>
      <c r="D22" s="331"/>
      <c r="E22" s="331"/>
      <c r="F22" s="331"/>
      <c r="G22" s="331"/>
      <c r="H22" s="331"/>
      <c r="I22" s="331"/>
      <c r="J22" s="331"/>
      <c r="K22" s="331"/>
      <c r="L22" s="331"/>
      <c r="M22" s="332"/>
      <c r="N22" s="271"/>
      <c r="O22" s="209"/>
      <c r="P22" s="209"/>
      <c r="Q22" s="209"/>
      <c r="R22" s="211"/>
    </row>
    <row r="23" spans="1:19" ht="30">
      <c r="A23" s="274" t="s">
        <v>381</v>
      </c>
      <c r="B23" s="234"/>
      <c r="C23" s="242" t="s">
        <v>265</v>
      </c>
      <c r="D23" s="265"/>
      <c r="E23" s="265"/>
      <c r="F23" s="265"/>
      <c r="G23" s="163"/>
      <c r="H23" s="163"/>
      <c r="I23" s="163"/>
      <c r="J23" s="163"/>
      <c r="K23" s="163"/>
      <c r="L23" s="163"/>
      <c r="M23" s="163"/>
      <c r="O23" s="211"/>
      <c r="P23" s="211"/>
      <c r="Q23" s="211"/>
      <c r="R23" s="211"/>
    </row>
    <row r="24" spans="1:19">
      <c r="A24" s="102" t="s">
        <v>3</v>
      </c>
      <c r="B24" s="107"/>
      <c r="O24" s="211"/>
      <c r="P24" s="211"/>
      <c r="Q24" s="211"/>
      <c r="R24" s="211"/>
    </row>
    <row r="25" spans="1:19">
      <c r="A25" s="219" t="s">
        <v>117</v>
      </c>
      <c r="B25" s="152">
        <f>SUM(H35:S35)+C25</f>
        <v>2312800</v>
      </c>
      <c r="C25" s="220">
        <v>0</v>
      </c>
      <c r="O25" s="211"/>
      <c r="P25" s="211"/>
      <c r="Q25" s="211"/>
      <c r="R25" s="211"/>
    </row>
    <row r="26" spans="1:19">
      <c r="A26" s="219" t="s">
        <v>118</v>
      </c>
      <c r="B26" s="152">
        <f>SUM(H36:S36)+C26</f>
        <v>6335.5451847394152</v>
      </c>
      <c r="C26" s="238">
        <f>D20/D21</f>
        <v>6335.5451847394152</v>
      </c>
      <c r="G26" s="244" t="s">
        <v>185</v>
      </c>
      <c r="O26" s="211"/>
      <c r="P26" s="211"/>
      <c r="Q26" s="211"/>
      <c r="R26" s="211"/>
    </row>
    <row r="27" spans="1:19">
      <c r="A27" s="219" t="s">
        <v>119</v>
      </c>
      <c r="B27" s="152">
        <f>SUM(H37:S37)+C27</f>
        <v>2312800</v>
      </c>
      <c r="C27" s="220">
        <v>0</v>
      </c>
      <c r="G27" s="82" t="s">
        <v>124</v>
      </c>
      <c r="O27" s="211"/>
      <c r="P27" s="211"/>
      <c r="Q27" s="211"/>
      <c r="R27" s="211"/>
    </row>
    <row r="28" spans="1:19">
      <c r="A28" s="102" t="s">
        <v>115</v>
      </c>
      <c r="B28" s="107"/>
      <c r="C28" s="200"/>
      <c r="D28" s="197"/>
      <c r="E28" s="197"/>
      <c r="F28" s="197"/>
      <c r="G28" s="214" t="s">
        <v>133</v>
      </c>
      <c r="H28" s="215">
        <v>4</v>
      </c>
      <c r="O28" s="211"/>
      <c r="P28" s="211"/>
      <c r="Q28" s="211"/>
      <c r="R28" s="211"/>
    </row>
    <row r="29" spans="1:19">
      <c r="A29" s="219" t="s">
        <v>8</v>
      </c>
      <c r="B29" s="152">
        <f>SUM(H39:S39)+SUM(H43:S43)+C29</f>
        <v>23262791666.666668</v>
      </c>
      <c r="C29" s="220">
        <v>0</v>
      </c>
      <c r="D29" s="197"/>
      <c r="E29" s="197"/>
      <c r="F29" s="197"/>
      <c r="H29" s="347" t="s">
        <v>129</v>
      </c>
      <c r="I29" s="347"/>
      <c r="J29" s="347"/>
      <c r="K29" s="347"/>
      <c r="L29" s="347"/>
      <c r="M29" s="347"/>
      <c r="N29" s="347"/>
      <c r="O29" s="347"/>
      <c r="P29" s="347"/>
      <c r="Q29" s="347"/>
      <c r="R29" s="347"/>
      <c r="S29" s="347"/>
    </row>
    <row r="30" spans="1:19">
      <c r="A30" s="219" t="s">
        <v>120</v>
      </c>
      <c r="B30" s="152">
        <f>SUM(H40:S40)+SUM(H44:S44)+C30</f>
        <v>23532375000</v>
      </c>
      <c r="C30" s="220">
        <v>0</v>
      </c>
      <c r="D30" s="197"/>
      <c r="E30" s="197"/>
      <c r="F30" s="19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19" t="s">
        <v>116</v>
      </c>
      <c r="B31" s="152">
        <f>SUM(H41:S41)+SUM(H45:S45)+C31</f>
        <v>23262791666.666668</v>
      </c>
      <c r="C31" s="220">
        <v>0</v>
      </c>
      <c r="D31" s="197"/>
      <c r="E31" s="197"/>
      <c r="F31" s="197"/>
      <c r="G31" s="102" t="s">
        <v>42</v>
      </c>
      <c r="H31" s="215">
        <v>0</v>
      </c>
      <c r="I31" s="215">
        <v>0</v>
      </c>
      <c r="J31" s="215">
        <v>0</v>
      </c>
      <c r="K31" s="215">
        <v>0</v>
      </c>
      <c r="L31" s="215">
        <v>0</v>
      </c>
      <c r="M31" s="215">
        <v>0</v>
      </c>
      <c r="N31" s="215">
        <v>0</v>
      </c>
      <c r="O31" s="215">
        <v>0</v>
      </c>
      <c r="P31" s="215">
        <v>0</v>
      </c>
      <c r="Q31" s="215">
        <v>0</v>
      </c>
      <c r="R31" s="215">
        <v>0</v>
      </c>
      <c r="S31" s="215">
        <v>0</v>
      </c>
    </row>
    <row r="32" spans="1:19" ht="14" customHeight="1">
      <c r="A32" s="338" t="s">
        <v>190</v>
      </c>
      <c r="B32" s="339"/>
      <c r="C32" s="340"/>
      <c r="D32" s="197"/>
      <c r="E32" s="197"/>
      <c r="F32" s="197"/>
      <c r="G32" s="102" t="s">
        <v>43</v>
      </c>
      <c r="H32" s="215">
        <v>100</v>
      </c>
      <c r="I32" s="215">
        <v>100</v>
      </c>
      <c r="J32" s="215">
        <v>-100</v>
      </c>
      <c r="K32" s="215">
        <v>-100</v>
      </c>
      <c r="L32" s="215">
        <v>0</v>
      </c>
      <c r="M32" s="215">
        <v>0</v>
      </c>
      <c r="N32" s="215">
        <v>0</v>
      </c>
      <c r="O32" s="215">
        <v>0</v>
      </c>
      <c r="P32" s="215">
        <v>0</v>
      </c>
      <c r="Q32" s="215">
        <v>0</v>
      </c>
      <c r="R32" s="215">
        <v>0</v>
      </c>
      <c r="S32" s="215">
        <v>0</v>
      </c>
    </row>
    <row r="33" spans="1:19" ht="15" customHeight="1">
      <c r="A33" s="341"/>
      <c r="B33" s="342"/>
      <c r="C33" s="343"/>
      <c r="D33" s="197"/>
      <c r="E33" s="197"/>
      <c r="F33" s="197"/>
      <c r="G33" s="102" t="s">
        <v>44</v>
      </c>
      <c r="H33" s="215">
        <v>100</v>
      </c>
      <c r="I33" s="215">
        <v>-100</v>
      </c>
      <c r="J33" s="215">
        <v>-100</v>
      </c>
      <c r="K33" s="215">
        <v>100</v>
      </c>
      <c r="L33" s="215">
        <v>0</v>
      </c>
      <c r="M33" s="215">
        <v>0</v>
      </c>
      <c r="N33" s="215">
        <v>0</v>
      </c>
      <c r="O33" s="215">
        <v>0</v>
      </c>
      <c r="P33" s="215">
        <v>0</v>
      </c>
      <c r="Q33" s="215">
        <v>0</v>
      </c>
      <c r="R33" s="215">
        <v>0</v>
      </c>
      <c r="S33" s="215">
        <v>0</v>
      </c>
    </row>
    <row r="34" spans="1:19">
      <c r="A34" s="344"/>
      <c r="B34" s="345"/>
      <c r="C34" s="346"/>
      <c r="G34" s="82" t="s">
        <v>130</v>
      </c>
      <c r="H34" s="275"/>
      <c r="I34" s="276"/>
      <c r="J34" s="276"/>
      <c r="K34" s="277"/>
    </row>
    <row r="35" spans="1:19">
      <c r="A35" s="222" t="s">
        <v>186</v>
      </c>
      <c r="B35" s="222"/>
      <c r="C35" s="222"/>
      <c r="D35" s="197"/>
      <c r="E35" s="197"/>
      <c r="F35" s="197"/>
      <c r="G35" s="102" t="s">
        <v>117</v>
      </c>
      <c r="H35" s="371">
        <f>D10</f>
        <v>578200</v>
      </c>
      <c r="I35" s="371">
        <f>H35</f>
        <v>578200</v>
      </c>
      <c r="J35" s="371">
        <f t="shared" ref="J35:K35" si="1">I35</f>
        <v>578200</v>
      </c>
      <c r="K35" s="371">
        <f t="shared" si="1"/>
        <v>578200</v>
      </c>
      <c r="L35" s="215">
        <v>0</v>
      </c>
      <c r="M35" s="215">
        <v>0</v>
      </c>
      <c r="N35" s="215">
        <v>0</v>
      </c>
      <c r="O35" s="215">
        <v>0</v>
      </c>
      <c r="P35" s="215">
        <v>0</v>
      </c>
      <c r="Q35" s="215">
        <v>0</v>
      </c>
      <c r="R35" s="215">
        <v>0</v>
      </c>
      <c r="S35" s="215">
        <v>0</v>
      </c>
    </row>
    <row r="36" spans="1:19">
      <c r="A36" s="81" t="s">
        <v>109</v>
      </c>
      <c r="D36" s="197"/>
      <c r="E36" s="197"/>
      <c r="F36" s="197" t="s">
        <v>404</v>
      </c>
      <c r="G36" s="102" t="s">
        <v>118</v>
      </c>
      <c r="H36" s="370">
        <v>0</v>
      </c>
      <c r="I36" s="370">
        <v>0</v>
      </c>
      <c r="J36" s="370">
        <v>0</v>
      </c>
      <c r="K36" s="370">
        <v>0</v>
      </c>
      <c r="L36" s="215">
        <v>0</v>
      </c>
      <c r="M36" s="215">
        <v>0</v>
      </c>
      <c r="N36" s="215">
        <v>0</v>
      </c>
      <c r="O36" s="215">
        <v>0</v>
      </c>
      <c r="P36" s="215">
        <v>0</v>
      </c>
      <c r="Q36" s="215">
        <v>0</v>
      </c>
      <c r="R36" s="215">
        <v>0</v>
      </c>
      <c r="S36" s="215">
        <v>0</v>
      </c>
    </row>
    <row r="37" spans="1:19">
      <c r="A37" s="102" t="s">
        <v>187</v>
      </c>
      <c r="B37" s="215">
        <v>0</v>
      </c>
      <c r="C37" s="211"/>
      <c r="D37" s="197"/>
      <c r="E37" s="197"/>
      <c r="F37" s="197"/>
      <c r="G37" s="102" t="s">
        <v>119</v>
      </c>
      <c r="H37" s="371">
        <f>H35</f>
        <v>578200</v>
      </c>
      <c r="I37" s="371">
        <f t="shared" ref="I37:K37" si="2">I35</f>
        <v>578200</v>
      </c>
      <c r="J37" s="371">
        <f t="shared" si="2"/>
        <v>578200</v>
      </c>
      <c r="K37" s="371">
        <f t="shared" si="2"/>
        <v>578200</v>
      </c>
      <c r="L37" s="215">
        <v>0</v>
      </c>
      <c r="M37" s="215">
        <v>0</v>
      </c>
      <c r="N37" s="215">
        <v>0</v>
      </c>
      <c r="O37" s="215">
        <v>0</v>
      </c>
      <c r="P37" s="215">
        <v>0</v>
      </c>
      <c r="Q37" s="215">
        <v>0</v>
      </c>
      <c r="R37" s="215">
        <v>0</v>
      </c>
      <c r="S37" s="215">
        <v>0</v>
      </c>
    </row>
    <row r="38" spans="1:19">
      <c r="A38" s="102" t="s">
        <v>188</v>
      </c>
      <c r="B38" s="215">
        <v>0</v>
      </c>
      <c r="C38" s="211"/>
      <c r="D38" s="197"/>
      <c r="E38" s="197"/>
      <c r="F38" s="197"/>
      <c r="G38" s="82" t="s">
        <v>131</v>
      </c>
      <c r="H38" s="275"/>
      <c r="I38" s="276"/>
      <c r="J38" s="276"/>
      <c r="K38" s="277"/>
    </row>
    <row r="39" spans="1:19">
      <c r="A39" s="102" t="s">
        <v>189</v>
      </c>
      <c r="B39" s="215">
        <v>0</v>
      </c>
      <c r="C39" s="211"/>
      <c r="D39" s="197"/>
      <c r="E39" s="197"/>
      <c r="F39" s="197"/>
      <c r="G39" s="102" t="s">
        <v>8</v>
      </c>
      <c r="H39" s="273">
        <f>D13</f>
        <v>33697916.666666664</v>
      </c>
      <c r="I39" s="273">
        <f>H39</f>
        <v>33697916.666666664</v>
      </c>
      <c r="J39" s="273">
        <f t="shared" ref="J39:K39" si="3">I39</f>
        <v>33697916.666666664</v>
      </c>
      <c r="K39" s="273">
        <f t="shared" si="3"/>
        <v>33697916.666666664</v>
      </c>
      <c r="L39" s="215">
        <v>0</v>
      </c>
      <c r="M39" s="215">
        <v>0</v>
      </c>
      <c r="N39" s="215">
        <v>0</v>
      </c>
      <c r="O39" s="215">
        <v>0</v>
      </c>
      <c r="P39" s="215">
        <v>0</v>
      </c>
      <c r="Q39" s="215">
        <v>0</v>
      </c>
      <c r="R39" s="215">
        <v>0</v>
      </c>
      <c r="S39" s="215">
        <v>0</v>
      </c>
    </row>
    <row r="40" spans="1:19">
      <c r="A40" s="149" t="s">
        <v>110</v>
      </c>
      <c r="D40" s="197"/>
      <c r="E40" s="197"/>
      <c r="F40" s="197"/>
      <c r="G40" s="102" t="s">
        <v>120</v>
      </c>
      <c r="H40" s="273">
        <f>D12</f>
        <v>101093750</v>
      </c>
      <c r="I40" s="273">
        <f t="shared" ref="I40:K40" si="4">H40</f>
        <v>101093750</v>
      </c>
      <c r="J40" s="273">
        <f t="shared" si="4"/>
        <v>101093750</v>
      </c>
      <c r="K40" s="273">
        <f t="shared" si="4"/>
        <v>101093750</v>
      </c>
      <c r="L40" s="215">
        <v>0</v>
      </c>
      <c r="M40" s="215">
        <v>0</v>
      </c>
      <c r="N40" s="215">
        <v>0</v>
      </c>
      <c r="O40" s="215">
        <v>0</v>
      </c>
      <c r="P40" s="215">
        <v>0</v>
      </c>
      <c r="Q40" s="215">
        <v>0</v>
      </c>
      <c r="R40" s="215">
        <v>0</v>
      </c>
      <c r="S40" s="215">
        <v>0</v>
      </c>
    </row>
    <row r="41" spans="1:19">
      <c r="A41" s="102" t="s">
        <v>187</v>
      </c>
      <c r="B41" s="215">
        <v>0</v>
      </c>
      <c r="C41" s="211"/>
      <c r="G41" s="102" t="s">
        <v>116</v>
      </c>
      <c r="H41" s="273">
        <f>D14</f>
        <v>33697916.666666664</v>
      </c>
      <c r="I41" s="273">
        <f t="shared" ref="I41:K41" si="5">H41</f>
        <v>33697916.666666664</v>
      </c>
      <c r="J41" s="273">
        <f t="shared" si="5"/>
        <v>33697916.666666664</v>
      </c>
      <c r="K41" s="273">
        <f t="shared" si="5"/>
        <v>33697916.666666664</v>
      </c>
      <c r="L41" s="215">
        <v>0</v>
      </c>
      <c r="M41" s="215">
        <v>0</v>
      </c>
      <c r="N41" s="215">
        <v>0</v>
      </c>
      <c r="O41" s="215">
        <v>0</v>
      </c>
      <c r="P41" s="215">
        <v>0</v>
      </c>
      <c r="Q41" s="215">
        <v>0</v>
      </c>
      <c r="R41" s="215">
        <v>0</v>
      </c>
      <c r="S41" s="215">
        <v>0</v>
      </c>
    </row>
    <row r="42" spans="1:19">
      <c r="A42" s="102" t="s">
        <v>188</v>
      </c>
      <c r="B42" s="215">
        <v>0</v>
      </c>
      <c r="C42" s="211"/>
      <c r="D42" s="218"/>
      <c r="E42" s="218"/>
      <c r="F42" s="218"/>
      <c r="G42" s="82" t="s">
        <v>125</v>
      </c>
    </row>
    <row r="43" spans="1:19">
      <c r="A43" s="102" t="s">
        <v>189</v>
      </c>
      <c r="B43" s="215">
        <v>0</v>
      </c>
      <c r="C43" s="211"/>
      <c r="G43" s="102" t="s">
        <v>8</v>
      </c>
      <c r="H43" s="152">
        <f>H36*H33^2+H37*H32^2</f>
        <v>5782000000</v>
      </c>
      <c r="I43" s="152">
        <f t="shared" ref="I43:S43" si="6">I36*I33^2+I37*I32^2</f>
        <v>5782000000</v>
      </c>
      <c r="J43" s="152">
        <f t="shared" si="6"/>
        <v>5782000000</v>
      </c>
      <c r="K43" s="152">
        <f t="shared" si="6"/>
        <v>5782000000</v>
      </c>
      <c r="L43" s="105">
        <f t="shared" si="6"/>
        <v>0</v>
      </c>
      <c r="M43" s="105">
        <f t="shared" si="6"/>
        <v>0</v>
      </c>
      <c r="N43" s="105">
        <f t="shared" si="6"/>
        <v>0</v>
      </c>
      <c r="O43" s="105">
        <f t="shared" si="6"/>
        <v>0</v>
      </c>
      <c r="P43" s="105">
        <f t="shared" si="6"/>
        <v>0</v>
      </c>
      <c r="Q43" s="105">
        <f t="shared" si="6"/>
        <v>0</v>
      </c>
      <c r="R43" s="105">
        <f t="shared" si="6"/>
        <v>0</v>
      </c>
      <c r="S43" s="105">
        <f t="shared" si="6"/>
        <v>0</v>
      </c>
    </row>
    <row r="44" spans="1:19">
      <c r="A44" s="216" t="s">
        <v>207</v>
      </c>
      <c r="D44" s="238"/>
      <c r="E44" s="238"/>
      <c r="F44" s="238"/>
      <c r="G44" s="102" t="s">
        <v>120</v>
      </c>
      <c r="H44" s="152">
        <f>H35*H33^2+H37*H31^2</f>
        <v>5782000000</v>
      </c>
      <c r="I44" s="152">
        <f t="shared" ref="I44:S44" si="7">I35*I33^2+I37*I31^2</f>
        <v>5782000000</v>
      </c>
      <c r="J44" s="152">
        <f t="shared" si="7"/>
        <v>5782000000</v>
      </c>
      <c r="K44" s="152">
        <f t="shared" si="7"/>
        <v>5782000000</v>
      </c>
      <c r="L44" s="105">
        <f t="shared" si="7"/>
        <v>0</v>
      </c>
      <c r="M44" s="105">
        <f t="shared" si="7"/>
        <v>0</v>
      </c>
      <c r="N44" s="105">
        <f t="shared" si="7"/>
        <v>0</v>
      </c>
      <c r="O44" s="105">
        <f t="shared" si="7"/>
        <v>0</v>
      </c>
      <c r="P44" s="105">
        <f t="shared" si="7"/>
        <v>0</v>
      </c>
      <c r="Q44" s="105">
        <f t="shared" si="7"/>
        <v>0</v>
      </c>
      <c r="R44" s="105">
        <f t="shared" si="7"/>
        <v>0</v>
      </c>
      <c r="S44" s="105">
        <f t="shared" si="7"/>
        <v>0</v>
      </c>
    </row>
    <row r="45" spans="1:19">
      <c r="A45" s="102" t="s">
        <v>121</v>
      </c>
      <c r="B45" s="105">
        <f>SQRT((H47^2+I47^2+J47^2+K47^2+L47^2+M47^2+N47^2+O47^2+P47^2+Q47^2+R47^2+S47^2)/H$28)</f>
        <v>5.0000000000000001E-3</v>
      </c>
      <c r="C45" s="197"/>
      <c r="D45" s="220"/>
      <c r="E45" s="220"/>
      <c r="F45" s="220"/>
      <c r="G45" s="102" t="s">
        <v>116</v>
      </c>
      <c r="H45" s="152">
        <f>H35*H32^2+H36*H31^2</f>
        <v>5782000000</v>
      </c>
      <c r="I45" s="152">
        <f t="shared" ref="I45:S45" si="8">I35*I32^2+I36*I31^2</f>
        <v>5782000000</v>
      </c>
      <c r="J45" s="152">
        <f t="shared" si="8"/>
        <v>5782000000</v>
      </c>
      <c r="K45" s="152">
        <f t="shared" si="8"/>
        <v>5782000000</v>
      </c>
      <c r="L45" s="105">
        <f t="shared" si="8"/>
        <v>0</v>
      </c>
      <c r="M45" s="105">
        <f t="shared" si="8"/>
        <v>0</v>
      </c>
      <c r="N45" s="105">
        <f t="shared" si="8"/>
        <v>0</v>
      </c>
      <c r="O45" s="105">
        <f t="shared" si="8"/>
        <v>0</v>
      </c>
      <c r="P45" s="105">
        <f t="shared" si="8"/>
        <v>0</v>
      </c>
      <c r="Q45" s="105">
        <f t="shared" si="8"/>
        <v>0</v>
      </c>
      <c r="R45" s="105">
        <f t="shared" si="8"/>
        <v>0</v>
      </c>
      <c r="S45" s="105">
        <f t="shared" si="8"/>
        <v>0</v>
      </c>
    </row>
    <row r="46" spans="1:19">
      <c r="A46" s="102" t="s">
        <v>122</v>
      </c>
      <c r="B46" s="105">
        <f>SQRT((H48^2+I48^2+J48^2+K48^2+L48^2+M48^2+N48^2+O48^2+P48^2+Q48^2+R48^2+S48^2)/H$28)</f>
        <v>5.0000000000000001E-3</v>
      </c>
      <c r="C46" s="197"/>
      <c r="D46" s="220"/>
      <c r="E46" s="220"/>
      <c r="F46" s="220"/>
      <c r="G46" s="82" t="s">
        <v>307</v>
      </c>
    </row>
    <row r="47" spans="1:19">
      <c r="A47" s="102" t="s">
        <v>123</v>
      </c>
      <c r="B47" s="105">
        <f>SQRT((H49^2+I49^2+J49^2+K49^2+L49^2+M49^2+N49^2+O49^2+P49^2+Q49^2+R49^2+S49^2)/H$28)</f>
        <v>5.0000000000000001E-3</v>
      </c>
      <c r="C47" s="197"/>
      <c r="D47" s="200"/>
      <c r="E47" s="200"/>
      <c r="F47" s="200"/>
      <c r="G47" s="102" t="s">
        <v>121</v>
      </c>
      <c r="H47" s="215">
        <f t="shared" ref="H47:K49" si="9">0.005</f>
        <v>5.0000000000000001E-3</v>
      </c>
      <c r="I47" s="215">
        <f t="shared" si="9"/>
        <v>5.0000000000000001E-3</v>
      </c>
      <c r="J47" s="215">
        <f t="shared" si="9"/>
        <v>5.0000000000000001E-3</v>
      </c>
      <c r="K47" s="215">
        <f t="shared" si="9"/>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4.999999975000001E-5</v>
      </c>
      <c r="C48" s="197"/>
      <c r="D48" s="220"/>
      <c r="E48" s="220"/>
      <c r="F48" s="220"/>
      <c r="G48" s="102" t="s">
        <v>122</v>
      </c>
      <c r="H48" s="215">
        <f t="shared" si="9"/>
        <v>5.0000000000000001E-3</v>
      </c>
      <c r="I48" s="215">
        <f t="shared" si="9"/>
        <v>5.0000000000000001E-3</v>
      </c>
      <c r="J48" s="215">
        <f t="shared" si="9"/>
        <v>5.0000000000000001E-3</v>
      </c>
      <c r="K48" s="215">
        <f t="shared" si="9"/>
        <v>5.0000000000000001E-3</v>
      </c>
      <c r="L48" s="215">
        <v>0</v>
      </c>
      <c r="M48" s="215">
        <v>0</v>
      </c>
      <c r="N48" s="215">
        <v>0</v>
      </c>
      <c r="O48" s="215">
        <v>0</v>
      </c>
      <c r="P48" s="215">
        <v>0</v>
      </c>
      <c r="Q48" s="215">
        <v>0</v>
      </c>
      <c r="R48" s="215">
        <v>0</v>
      </c>
      <c r="S48" s="215">
        <v>0</v>
      </c>
    </row>
    <row r="49" spans="1:20">
      <c r="A49" s="102" t="s">
        <v>86</v>
      </c>
      <c r="B49" s="152">
        <f>SQRT((H52^2+I52^2+J52^2+K52^2+L52^2+M52^2+N52^2+O52^2+P52^2+Q52^2+R52^2+S52^2+B38^2)/H$28)</f>
        <v>5.0000000000000009E-5</v>
      </c>
      <c r="C49" s="197"/>
      <c r="D49" s="220"/>
      <c r="E49" s="220"/>
      <c r="F49" s="220"/>
      <c r="G49" s="102" t="s">
        <v>123</v>
      </c>
      <c r="H49" s="215">
        <f t="shared" si="9"/>
        <v>5.0000000000000001E-3</v>
      </c>
      <c r="I49" s="215">
        <f t="shared" si="9"/>
        <v>5.0000000000000001E-3</v>
      </c>
      <c r="J49" s="215">
        <f t="shared" si="9"/>
        <v>5.0000000000000001E-3</v>
      </c>
      <c r="K49" s="215">
        <f t="shared" si="9"/>
        <v>5.0000000000000001E-3</v>
      </c>
      <c r="L49" s="215">
        <v>0</v>
      </c>
      <c r="M49" s="215">
        <v>0</v>
      </c>
      <c r="N49" s="215">
        <v>0</v>
      </c>
      <c r="O49" s="215">
        <v>0</v>
      </c>
      <c r="P49" s="215">
        <v>0</v>
      </c>
      <c r="Q49" s="215">
        <v>0</v>
      </c>
      <c r="R49" s="215">
        <v>0</v>
      </c>
      <c r="S49" s="215">
        <v>0</v>
      </c>
    </row>
    <row r="50" spans="1:20">
      <c r="A50" s="102" t="s">
        <v>87</v>
      </c>
      <c r="B50" s="152">
        <f>SQRT((H53^2+I53^2+J53^2+K53^2+L53^2+M53^2+N53^2+O53^2+P53^2+Q53^2+R53^2+S53^2+B39^2)/H$28)</f>
        <v>5.0000000000000009E-5</v>
      </c>
      <c r="C50" s="197"/>
      <c r="D50" s="220"/>
      <c r="E50" s="220"/>
      <c r="F50" s="220"/>
      <c r="G50" s="82" t="s">
        <v>252</v>
      </c>
    </row>
    <row r="51" spans="1:20" ht="45">
      <c r="A51" s="217" t="s">
        <v>208</v>
      </c>
      <c r="B51" s="107"/>
      <c r="G51" s="102" t="s">
        <v>85</v>
      </c>
      <c r="H51" s="152">
        <f>H98</f>
        <v>4.9999999500000004E-5</v>
      </c>
      <c r="I51" s="152">
        <f t="shared" ref="I51:S51" si="10">I98</f>
        <v>4.9999999500000004E-5</v>
      </c>
      <c r="J51" s="152">
        <f t="shared" si="10"/>
        <v>5.0000000500000007E-5</v>
      </c>
      <c r="K51" s="152">
        <f t="shared" si="10"/>
        <v>4.9999999500000004E-5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0" ht="15" customHeight="1">
      <c r="A52" s="102" t="s">
        <v>121</v>
      </c>
      <c r="B52" s="105">
        <f>SQRT((H55^2+I55^2+J55^2+K55^2+L55^2+M55^2+N55^2+O55^2+P55^2+Q55^2+R55^2+S55^2)/H$28)</f>
        <v>0</v>
      </c>
      <c r="C52" s="197"/>
      <c r="D52" s="221"/>
      <c r="E52" s="221"/>
      <c r="F52" s="221"/>
      <c r="G52" s="102" t="s">
        <v>86</v>
      </c>
      <c r="H52" s="152">
        <f>H102</f>
        <v>4.9999999500000004E-5</v>
      </c>
      <c r="I52" s="152">
        <f t="shared" ref="I52:S52" si="11">I102</f>
        <v>5.0000000500000007E-5</v>
      </c>
      <c r="J52" s="152">
        <f t="shared" si="11"/>
        <v>5.0000000500000007E-5</v>
      </c>
      <c r="K52" s="152">
        <f t="shared" si="11"/>
        <v>4.9999999500000004E-5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0">
      <c r="A53" s="102" t="s">
        <v>122</v>
      </c>
      <c r="B53" s="105">
        <f>SQRT((H56^2+I56^2+J56^2+K56^2+L56^2+M56^2+N56^2+O56^2+P56^2+Q56^2+R56^2+S56^2)/H$28)</f>
        <v>0</v>
      </c>
      <c r="C53" s="197"/>
      <c r="D53" s="221"/>
      <c r="E53" s="221"/>
      <c r="F53" s="221"/>
      <c r="G53" s="102" t="s">
        <v>87</v>
      </c>
      <c r="H53" s="152">
        <f>H106</f>
        <v>4.9999999500000004E-5</v>
      </c>
      <c r="I53" s="152">
        <f t="shared" ref="I53:S53" si="12">I106</f>
        <v>4.9999999500000004E-5</v>
      </c>
      <c r="J53" s="152">
        <f t="shared" si="12"/>
        <v>5.0000000500000007E-5</v>
      </c>
      <c r="K53" s="152">
        <f t="shared" si="12"/>
        <v>5.0000000500000007E-5</v>
      </c>
      <c r="L53" s="152">
        <f t="shared" si="12"/>
        <v>0</v>
      </c>
      <c r="M53" s="152">
        <f t="shared" si="12"/>
        <v>0</v>
      </c>
      <c r="N53" s="152">
        <f t="shared" si="12"/>
        <v>0</v>
      </c>
      <c r="O53" s="152">
        <f t="shared" si="12"/>
        <v>0</v>
      </c>
      <c r="P53" s="152">
        <f t="shared" si="12"/>
        <v>0</v>
      </c>
      <c r="Q53" s="152">
        <f t="shared" si="12"/>
        <v>0</v>
      </c>
      <c r="R53" s="152">
        <f t="shared" si="12"/>
        <v>0</v>
      </c>
      <c r="S53" s="152">
        <f t="shared" si="12"/>
        <v>0</v>
      </c>
    </row>
    <row r="54" spans="1:20">
      <c r="A54" s="102" t="s">
        <v>123</v>
      </c>
      <c r="B54" s="105">
        <f>SQRT((H57^2+I57^2+J57^2+K57^2+L57^2+M57^2+N57^2+O57^2+P57^2+Q57^2+R57^2+S57^2)/H$28)</f>
        <v>0</v>
      </c>
      <c r="C54" s="197"/>
      <c r="D54" s="221"/>
      <c r="E54" s="221"/>
      <c r="F54" s="221"/>
      <c r="G54" s="82" t="s">
        <v>333</v>
      </c>
    </row>
    <row r="55" spans="1:20">
      <c r="A55" s="102" t="s">
        <v>85</v>
      </c>
      <c r="B55" s="105">
        <f>SQRT((H59^2+I59^2+J59^2+K59^2+L59^2+M59^2+N59^2+O59^2+P59^2+Q59^2+R59^2+S59^2+B41^2)/H$28)</f>
        <v>0</v>
      </c>
      <c r="C55" s="197"/>
      <c r="D55" s="222"/>
      <c r="E55" s="222"/>
      <c r="F55" s="222"/>
      <c r="G55" s="102" t="s">
        <v>121</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SQRT((H60^2+I60^2+J60^2+K60^2+L60^2+M60^2+N60^2+O60^2+P60^2+Q60^2+R60^2+S60^2+B42^2)/H$28)</f>
        <v>0</v>
      </c>
      <c r="C56" s="197"/>
      <c r="G56" s="102" t="s">
        <v>122</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SQRT((H61^2+I61^2+J61^2+K61^2+L61^2+M61^2+N61^2+O61^2+P61^2+Q61^2+R61^2+S61^2+B43^2)/H$28)</f>
        <v>0</v>
      </c>
      <c r="C57" s="197"/>
      <c r="D57" s="211"/>
      <c r="E57" s="211"/>
      <c r="F57" s="211"/>
      <c r="G57" s="102" t="s">
        <v>123</v>
      </c>
      <c r="H57" s="215">
        <v>0</v>
      </c>
      <c r="I57" s="215">
        <v>0</v>
      </c>
      <c r="J57" s="215">
        <v>0</v>
      </c>
      <c r="K57" s="215">
        <v>0</v>
      </c>
      <c r="L57" s="215">
        <v>0</v>
      </c>
      <c r="M57" s="215">
        <v>0</v>
      </c>
      <c r="N57" s="215">
        <v>0</v>
      </c>
      <c r="O57" s="215">
        <v>0</v>
      </c>
      <c r="P57" s="215">
        <v>0</v>
      </c>
      <c r="Q57" s="215">
        <v>0</v>
      </c>
      <c r="R57" s="215">
        <v>0</v>
      </c>
      <c r="S57" s="215">
        <v>0</v>
      </c>
    </row>
    <row r="58" spans="1:20">
      <c r="D58" s="211"/>
      <c r="E58" s="211"/>
      <c r="F58" s="211"/>
      <c r="G58" s="82" t="s">
        <v>253</v>
      </c>
    </row>
    <row r="59" spans="1:20">
      <c r="B59" s="107"/>
      <c r="D59" s="211"/>
      <c r="E59" s="211"/>
      <c r="F59" s="211"/>
      <c r="G59" s="102" t="s">
        <v>85</v>
      </c>
      <c r="H59" s="152">
        <f>H113</f>
        <v>0</v>
      </c>
      <c r="I59" s="152">
        <f t="shared" ref="I59:S59" si="13">I113</f>
        <v>0</v>
      </c>
      <c r="J59" s="152">
        <f t="shared" si="13"/>
        <v>0</v>
      </c>
      <c r="K59" s="152">
        <f t="shared" si="13"/>
        <v>0</v>
      </c>
      <c r="L59" s="152">
        <f t="shared" si="13"/>
        <v>0</v>
      </c>
      <c r="M59" s="152">
        <f t="shared" si="13"/>
        <v>0</v>
      </c>
      <c r="N59" s="152">
        <f t="shared" si="13"/>
        <v>0</v>
      </c>
      <c r="O59" s="152">
        <f t="shared" si="13"/>
        <v>0</v>
      </c>
      <c r="P59" s="152">
        <f t="shared" si="13"/>
        <v>0</v>
      </c>
      <c r="Q59" s="152">
        <f t="shared" si="13"/>
        <v>0</v>
      </c>
      <c r="R59" s="152">
        <f t="shared" si="13"/>
        <v>0</v>
      </c>
      <c r="S59" s="152">
        <f t="shared" si="13"/>
        <v>0</v>
      </c>
    </row>
    <row r="60" spans="1:20">
      <c r="G60" s="102" t="s">
        <v>86</v>
      </c>
      <c r="H60" s="152">
        <f>H118</f>
        <v>0</v>
      </c>
      <c r="I60" s="152">
        <f t="shared" ref="I60:S60" si="14">I118</f>
        <v>0</v>
      </c>
      <c r="J60" s="152">
        <f t="shared" si="14"/>
        <v>0</v>
      </c>
      <c r="K60" s="152">
        <f t="shared" si="14"/>
        <v>0</v>
      </c>
      <c r="L60" s="152">
        <f t="shared" si="14"/>
        <v>0</v>
      </c>
      <c r="M60" s="152">
        <f t="shared" si="14"/>
        <v>0</v>
      </c>
      <c r="N60" s="152">
        <f t="shared" si="14"/>
        <v>0</v>
      </c>
      <c r="O60" s="152">
        <f t="shared" si="14"/>
        <v>0</v>
      </c>
      <c r="P60" s="152">
        <f t="shared" si="14"/>
        <v>0</v>
      </c>
      <c r="Q60" s="152">
        <f t="shared" si="14"/>
        <v>0</v>
      </c>
      <c r="R60" s="152">
        <f t="shared" si="14"/>
        <v>0</v>
      </c>
      <c r="S60" s="152">
        <f t="shared" si="14"/>
        <v>0</v>
      </c>
    </row>
    <row r="61" spans="1:20">
      <c r="D61" s="211"/>
      <c r="E61" s="211"/>
      <c r="F61" s="211"/>
      <c r="G61" s="102" t="s">
        <v>87</v>
      </c>
      <c r="H61" s="152">
        <f>H123</f>
        <v>0</v>
      </c>
      <c r="I61" s="152">
        <f t="shared" ref="I61:S61" si="15">I123</f>
        <v>0</v>
      </c>
      <c r="J61" s="152">
        <f t="shared" si="15"/>
        <v>0</v>
      </c>
      <c r="K61" s="152">
        <f t="shared" si="15"/>
        <v>0</v>
      </c>
      <c r="L61" s="152">
        <f t="shared" si="15"/>
        <v>0</v>
      </c>
      <c r="M61" s="152">
        <f t="shared" si="15"/>
        <v>0</v>
      </c>
      <c r="N61" s="152">
        <f t="shared" si="15"/>
        <v>0</v>
      </c>
      <c r="O61" s="152">
        <f t="shared" si="15"/>
        <v>0</v>
      </c>
      <c r="P61" s="152">
        <f t="shared" si="15"/>
        <v>0</v>
      </c>
      <c r="Q61" s="152">
        <f t="shared" si="15"/>
        <v>0</v>
      </c>
      <c r="R61" s="152">
        <f t="shared" si="15"/>
        <v>0</v>
      </c>
      <c r="S61" s="152">
        <f t="shared" si="15"/>
        <v>0</v>
      </c>
    </row>
    <row r="62" spans="1:20">
      <c r="D62" s="211"/>
      <c r="E62" s="211"/>
      <c r="F62" s="211"/>
      <c r="G62" s="216" t="s">
        <v>298</v>
      </c>
    </row>
    <row r="63" spans="1:20">
      <c r="D63" s="211"/>
      <c r="E63" s="211"/>
      <c r="F63" s="211"/>
      <c r="I63" s="118"/>
      <c r="J63" s="118"/>
      <c r="K63" s="118"/>
      <c r="L63" s="118"/>
      <c r="M63" s="118"/>
      <c r="N63" s="118"/>
    </row>
    <row r="64" spans="1:20">
      <c r="D64" s="211"/>
      <c r="E64" s="211"/>
      <c r="F64" s="211"/>
      <c r="G64" s="119"/>
      <c r="H64" s="326"/>
      <c r="I64" s="224"/>
      <c r="J64" s="224"/>
      <c r="K64" s="224"/>
      <c r="L64" s="224"/>
      <c r="M64" s="224"/>
      <c r="N64" s="224"/>
      <c r="O64" s="118"/>
    </row>
    <row r="65" spans="4:15">
      <c r="D65" s="211"/>
      <c r="E65" s="211"/>
      <c r="F65" s="211"/>
      <c r="G65" s="119"/>
      <c r="H65" s="326"/>
      <c r="I65" s="224"/>
      <c r="J65" s="224"/>
      <c r="K65" s="224"/>
      <c r="L65" s="224"/>
      <c r="M65" s="224"/>
      <c r="N65" s="224"/>
      <c r="O65" s="118"/>
    </row>
    <row r="66" spans="4:15">
      <c r="D66" s="211"/>
      <c r="E66" s="211"/>
      <c r="F66" s="211"/>
      <c r="G66" s="119"/>
      <c r="H66" s="326"/>
      <c r="I66" s="224"/>
      <c r="J66" s="224"/>
      <c r="K66" s="224"/>
      <c r="L66" s="224"/>
      <c r="M66" s="224"/>
      <c r="N66" s="224"/>
      <c r="O66" s="118"/>
    </row>
    <row r="67" spans="4:15">
      <c r="D67" s="211"/>
      <c r="E67" s="211"/>
      <c r="F67" s="211"/>
      <c r="G67" s="119"/>
      <c r="H67" s="326"/>
      <c r="I67" s="224"/>
      <c r="J67" s="224"/>
      <c r="K67" s="224"/>
      <c r="L67" s="224"/>
      <c r="M67" s="224"/>
      <c r="N67" s="224"/>
      <c r="O67" s="118"/>
    </row>
    <row r="68" spans="4:15">
      <c r="D68" s="211"/>
      <c r="E68" s="211"/>
      <c r="F68" s="211"/>
      <c r="G68" s="119"/>
      <c r="H68" s="326"/>
      <c r="I68" s="224"/>
      <c r="J68" s="224"/>
      <c r="K68" s="224"/>
      <c r="L68" s="224"/>
      <c r="M68" s="224"/>
      <c r="N68" s="224"/>
      <c r="O68" s="118"/>
    </row>
    <row r="69" spans="4:15">
      <c r="D69" s="211"/>
      <c r="E69" s="211"/>
      <c r="F69" s="211"/>
      <c r="G69" s="119"/>
      <c r="H69" s="326"/>
      <c r="I69" s="224"/>
      <c r="J69" s="224"/>
      <c r="K69" s="224"/>
      <c r="L69" s="224"/>
      <c r="M69" s="224"/>
      <c r="N69" s="224"/>
      <c r="O69" s="118"/>
    </row>
    <row r="70" spans="4:15">
      <c r="D70" s="211"/>
      <c r="E70" s="211"/>
      <c r="F70" s="211"/>
      <c r="G70" s="119"/>
      <c r="H70" s="195"/>
      <c r="I70" s="224"/>
      <c r="J70" s="224"/>
      <c r="K70" s="224"/>
      <c r="L70" s="224"/>
      <c r="M70" s="224"/>
      <c r="N70" s="224"/>
      <c r="O70" s="118"/>
    </row>
    <row r="71" spans="4:15">
      <c r="D71" s="211"/>
      <c r="E71" s="211"/>
      <c r="F71" s="211"/>
      <c r="G71" s="119"/>
      <c r="H71" s="195"/>
      <c r="I71" s="224"/>
      <c r="J71" s="224"/>
      <c r="K71" s="224"/>
      <c r="L71" s="224"/>
      <c r="M71" s="224"/>
      <c r="N71" s="224"/>
      <c r="O71" s="118"/>
    </row>
    <row r="72" spans="4:15">
      <c r="D72" s="211"/>
      <c r="E72" s="211"/>
      <c r="F72" s="211"/>
      <c r="G72" s="119"/>
      <c r="H72" s="195"/>
      <c r="I72" s="224"/>
      <c r="J72" s="224"/>
      <c r="K72" s="224"/>
      <c r="L72" s="224"/>
      <c r="M72" s="224"/>
      <c r="N72" s="224"/>
      <c r="O72" s="118"/>
    </row>
    <row r="73" spans="4:15">
      <c r="D73" s="211"/>
      <c r="E73" s="211"/>
      <c r="F73" s="211"/>
      <c r="G73" s="119"/>
      <c r="H73" s="195"/>
      <c r="I73" s="224"/>
      <c r="J73" s="224"/>
      <c r="K73" s="224"/>
      <c r="L73" s="224"/>
      <c r="M73" s="224"/>
      <c r="N73" s="224"/>
      <c r="O73" s="118"/>
    </row>
    <row r="74" spans="4:15">
      <c r="D74" s="211"/>
      <c r="E74" s="211"/>
      <c r="F74" s="211"/>
      <c r="G74" s="119"/>
      <c r="H74" s="195"/>
      <c r="I74" s="224"/>
      <c r="J74" s="224"/>
      <c r="K74" s="224"/>
      <c r="L74" s="224"/>
      <c r="M74" s="224"/>
      <c r="N74" s="224"/>
      <c r="O74" s="118"/>
    </row>
    <row r="75" spans="4:15">
      <c r="D75" s="211"/>
      <c r="E75" s="211"/>
      <c r="F75" s="211"/>
      <c r="G75" s="119"/>
      <c r="H75" s="195"/>
      <c r="I75" s="224"/>
      <c r="J75" s="224"/>
      <c r="K75" s="224"/>
      <c r="L75" s="224"/>
      <c r="M75" s="224"/>
      <c r="N75" s="224"/>
      <c r="O75" s="118"/>
    </row>
    <row r="76" spans="4:15">
      <c r="D76" s="211"/>
      <c r="E76" s="211"/>
      <c r="F76" s="211"/>
      <c r="G76" s="119"/>
      <c r="H76" s="195"/>
      <c r="I76" s="224"/>
      <c r="J76" s="224"/>
      <c r="K76" s="224"/>
      <c r="L76" s="224"/>
      <c r="M76" s="224"/>
      <c r="N76" s="224"/>
      <c r="O76" s="118"/>
    </row>
    <row r="77" spans="4:15">
      <c r="D77" s="211"/>
      <c r="E77" s="211"/>
      <c r="F77" s="211"/>
      <c r="G77" s="119"/>
      <c r="H77" s="195"/>
      <c r="I77" s="224"/>
      <c r="J77" s="224"/>
      <c r="K77" s="224"/>
      <c r="L77" s="224"/>
      <c r="M77" s="224"/>
      <c r="N77" s="224"/>
      <c r="O77" s="118"/>
    </row>
    <row r="78" spans="4:15">
      <c r="D78" s="211"/>
      <c r="E78" s="211"/>
      <c r="F78" s="211"/>
      <c r="G78" s="119"/>
      <c r="H78" s="195"/>
      <c r="I78" s="224"/>
      <c r="J78" s="224"/>
      <c r="K78" s="224"/>
      <c r="L78" s="224"/>
      <c r="M78" s="224"/>
      <c r="N78" s="224"/>
      <c r="O78" s="118"/>
    </row>
    <row r="79" spans="4:15">
      <c r="D79" s="211"/>
      <c r="E79" s="211"/>
      <c r="F79" s="211"/>
      <c r="G79" s="119"/>
      <c r="H79" s="195"/>
      <c r="I79" s="224"/>
      <c r="J79" s="224"/>
      <c r="K79" s="224"/>
      <c r="L79" s="224"/>
      <c r="M79" s="224"/>
      <c r="N79" s="224"/>
      <c r="O79" s="118"/>
    </row>
    <row r="80" spans="4:15">
      <c r="D80" s="211"/>
      <c r="E80" s="211"/>
      <c r="F80" s="211"/>
      <c r="G80" s="119"/>
      <c r="H80" s="195"/>
      <c r="I80" s="224"/>
      <c r="J80" s="224"/>
      <c r="K80" s="224"/>
      <c r="L80" s="224"/>
      <c r="M80" s="224"/>
      <c r="N80" s="224"/>
      <c r="O80" s="118"/>
    </row>
    <row r="81" spans="1:19">
      <c r="D81" s="211"/>
      <c r="E81" s="211"/>
      <c r="F81" s="211"/>
      <c r="G81" s="119"/>
      <c r="H81" s="195"/>
      <c r="I81" s="224"/>
      <c r="J81" s="224"/>
      <c r="K81" s="224"/>
      <c r="L81" s="224"/>
      <c r="M81" s="224"/>
      <c r="N81" s="224"/>
      <c r="O81" s="118"/>
    </row>
    <row r="82" spans="1:19">
      <c r="A82" s="102"/>
      <c r="B82" s="211"/>
      <c r="C82" s="211"/>
      <c r="D82" s="211"/>
      <c r="E82" s="211"/>
      <c r="F82" s="211"/>
      <c r="G82" s="119"/>
      <c r="H82" s="195"/>
      <c r="I82" s="224"/>
      <c r="J82" s="224"/>
      <c r="K82" s="224"/>
      <c r="L82" s="224"/>
      <c r="M82" s="224"/>
      <c r="N82" s="224"/>
      <c r="O82" s="118"/>
    </row>
    <row r="83" spans="1:19">
      <c r="A83" s="102"/>
      <c r="B83" s="211"/>
      <c r="C83" s="211"/>
      <c r="D83" s="211"/>
      <c r="E83" s="211"/>
      <c r="F83" s="211"/>
      <c r="G83" s="119"/>
      <c r="H83" s="195"/>
      <c r="I83" s="224"/>
      <c r="J83" s="224"/>
      <c r="K83" s="224"/>
      <c r="L83" s="224"/>
      <c r="M83" s="224"/>
      <c r="N83" s="224"/>
      <c r="O83" s="118"/>
    </row>
    <row r="84" spans="1:19">
      <c r="A84" s="102"/>
      <c r="B84" s="211"/>
      <c r="C84" s="211"/>
      <c r="D84" s="211"/>
      <c r="E84" s="211"/>
      <c r="F84" s="211"/>
      <c r="G84" s="119"/>
      <c r="H84" s="195"/>
      <c r="I84" s="224"/>
      <c r="J84" s="224"/>
      <c r="K84" s="224"/>
      <c r="L84" s="224"/>
      <c r="M84" s="224"/>
      <c r="N84" s="224"/>
      <c r="O84" s="118"/>
    </row>
    <row r="85" spans="1:19">
      <c r="A85" s="102"/>
      <c r="B85" s="211"/>
      <c r="C85" s="211"/>
      <c r="D85" s="211"/>
      <c r="E85" s="211"/>
      <c r="F85" s="211"/>
      <c r="G85" s="119"/>
      <c r="H85" s="195"/>
      <c r="I85" s="224"/>
      <c r="J85" s="224"/>
      <c r="K85" s="224"/>
      <c r="L85" s="224"/>
      <c r="M85" s="224"/>
      <c r="N85" s="224"/>
      <c r="O85" s="118"/>
    </row>
    <row r="86" spans="1:19">
      <c r="A86" s="102" t="s">
        <v>309</v>
      </c>
      <c r="B86" s="211"/>
      <c r="C86" s="211"/>
      <c r="D86" s="211"/>
      <c r="E86" s="211"/>
      <c r="F86" s="211"/>
      <c r="G86" s="119"/>
      <c r="H86" s="195"/>
      <c r="I86" s="224"/>
      <c r="J86" s="224"/>
      <c r="K86" s="224"/>
      <c r="L86" s="224"/>
      <c r="M86" s="224"/>
      <c r="N86" s="224"/>
      <c r="O86" s="118"/>
    </row>
    <row r="87" spans="1:19">
      <c r="A87" s="102"/>
      <c r="B87" s="211"/>
      <c r="C87" s="211"/>
      <c r="D87" s="211"/>
      <c r="E87" s="211"/>
      <c r="F87" s="211"/>
      <c r="G87" s="119"/>
      <c r="H87" s="195"/>
      <c r="I87" s="224"/>
      <c r="J87" s="224"/>
      <c r="K87" s="224"/>
      <c r="L87" s="224"/>
      <c r="M87" s="224"/>
      <c r="N87" s="224"/>
      <c r="O87" s="118"/>
    </row>
    <row r="88" spans="1:19">
      <c r="A88" s="102"/>
      <c r="B88" s="211"/>
      <c r="C88" s="211"/>
      <c r="D88" s="211"/>
      <c r="E88" s="211"/>
      <c r="F88" s="211"/>
      <c r="G88" s="119"/>
      <c r="H88" s="195"/>
      <c r="I88" s="224"/>
      <c r="J88" s="224"/>
      <c r="K88" s="224"/>
      <c r="L88" s="224"/>
      <c r="M88" s="224"/>
      <c r="N88" s="224"/>
      <c r="O88" s="118"/>
    </row>
    <row r="89" spans="1:19">
      <c r="A89" s="102"/>
      <c r="B89" s="211"/>
      <c r="C89" s="211"/>
      <c r="D89" s="211"/>
      <c r="E89" s="211"/>
      <c r="F89" s="211"/>
      <c r="G89" s="119"/>
      <c r="H89" s="195"/>
      <c r="I89" s="224"/>
      <c r="J89" s="224"/>
      <c r="K89" s="224"/>
      <c r="L89" s="224"/>
      <c r="M89" s="224"/>
      <c r="N89" s="224"/>
      <c r="O89" s="118"/>
    </row>
    <row r="90" spans="1:19">
      <c r="A90" s="102"/>
      <c r="B90" s="211"/>
      <c r="C90" s="211"/>
      <c r="D90" s="211"/>
      <c r="E90" s="211"/>
      <c r="F90" s="211"/>
      <c r="G90" s="119"/>
      <c r="H90" s="195"/>
      <c r="I90" s="224"/>
      <c r="J90" s="224"/>
      <c r="K90" s="224"/>
      <c r="L90" s="224"/>
      <c r="M90" s="224"/>
      <c r="N90" s="224"/>
      <c r="O90" s="118"/>
    </row>
    <row r="91" spans="1:19">
      <c r="A91" s="102"/>
      <c r="B91" s="211"/>
      <c r="C91" s="211"/>
      <c r="D91" s="211"/>
      <c r="E91" s="211"/>
      <c r="F91" s="211"/>
    </row>
    <row r="92" spans="1:19">
      <c r="A92" s="102"/>
      <c r="B92" s="211"/>
      <c r="C92" s="211"/>
      <c r="D92" s="211"/>
      <c r="E92" s="211"/>
      <c r="F92" s="211"/>
    </row>
    <row r="93" spans="1:19">
      <c r="A93" s="102"/>
      <c r="B93" s="211"/>
      <c r="C93" s="211"/>
      <c r="D93" s="211"/>
      <c r="E93" s="211"/>
      <c r="F93" s="211"/>
    </row>
    <row r="94" spans="1:19">
      <c r="A94" s="102"/>
      <c r="B94" s="211"/>
      <c r="C94" s="211"/>
      <c r="G94" s="225" t="s">
        <v>260</v>
      </c>
    </row>
    <row r="95" spans="1:19">
      <c r="A95" s="102"/>
      <c r="B95" s="211"/>
      <c r="C95" s="211"/>
      <c r="G95" s="213"/>
      <c r="H95" s="149" t="s">
        <v>261</v>
      </c>
    </row>
    <row r="96" spans="1:19">
      <c r="A96" s="102"/>
      <c r="B96" s="211"/>
      <c r="C96" s="211"/>
      <c r="G96" s="149" t="s">
        <v>259</v>
      </c>
      <c r="H96" s="81">
        <f t="shared" ref="H96:S96" si="16">H48/ABS(H33+0.000001)</f>
        <v>4.9999999500000004E-5</v>
      </c>
      <c r="I96" s="81">
        <f t="shared" si="16"/>
        <v>5.0000000500000007E-5</v>
      </c>
      <c r="J96" s="81">
        <f t="shared" si="16"/>
        <v>5.0000000500000007E-5</v>
      </c>
      <c r="K96" s="81">
        <f t="shared" si="16"/>
        <v>4.9999999500000004E-5</v>
      </c>
      <c r="L96" s="81">
        <f t="shared" si="16"/>
        <v>0</v>
      </c>
      <c r="M96" s="81">
        <f t="shared" si="16"/>
        <v>0</v>
      </c>
      <c r="N96" s="81">
        <f t="shared" si="16"/>
        <v>0</v>
      </c>
      <c r="O96" s="81">
        <f t="shared" si="16"/>
        <v>0</v>
      </c>
      <c r="P96" s="81">
        <f t="shared" si="16"/>
        <v>0</v>
      </c>
      <c r="Q96" s="81">
        <f t="shared" si="16"/>
        <v>0</v>
      </c>
      <c r="R96" s="81">
        <f t="shared" si="16"/>
        <v>0</v>
      </c>
      <c r="S96" s="81">
        <f t="shared" si="16"/>
        <v>0</v>
      </c>
    </row>
    <row r="97" spans="1:19">
      <c r="A97" s="102"/>
      <c r="B97" s="211"/>
      <c r="C97" s="211"/>
      <c r="G97" s="149" t="s">
        <v>259</v>
      </c>
      <c r="H97" s="81">
        <f t="shared" ref="H97:S97" si="17">H49/ABS(H32+0.000001)</f>
        <v>4.9999999500000004E-5</v>
      </c>
      <c r="I97" s="81">
        <f t="shared" si="17"/>
        <v>4.9999999500000004E-5</v>
      </c>
      <c r="J97" s="81">
        <f t="shared" si="17"/>
        <v>5.0000000500000007E-5</v>
      </c>
      <c r="K97" s="81">
        <f t="shared" si="17"/>
        <v>5.0000000500000007E-5</v>
      </c>
      <c r="L97" s="81">
        <f t="shared" si="17"/>
        <v>0</v>
      </c>
      <c r="M97" s="81">
        <f t="shared" si="17"/>
        <v>0</v>
      </c>
      <c r="N97" s="81">
        <f t="shared" si="17"/>
        <v>0</v>
      </c>
      <c r="O97" s="81">
        <f t="shared" si="17"/>
        <v>0</v>
      </c>
      <c r="P97" s="81">
        <f t="shared" si="17"/>
        <v>0</v>
      </c>
      <c r="Q97" s="81">
        <f t="shared" si="17"/>
        <v>0</v>
      </c>
      <c r="R97" s="81">
        <f t="shared" si="17"/>
        <v>0</v>
      </c>
      <c r="S97" s="81">
        <f t="shared" si="17"/>
        <v>0</v>
      </c>
    </row>
    <row r="98" spans="1:19">
      <c r="A98" s="102"/>
      <c r="B98" s="211"/>
      <c r="C98" s="211"/>
      <c r="G98" s="81" t="s">
        <v>257</v>
      </c>
      <c r="H98" s="226">
        <f>IF(MIN(H96,H97)&gt;1,0,MIN(H96,H97))</f>
        <v>4.9999999500000004E-5</v>
      </c>
      <c r="I98" s="226">
        <f t="shared" ref="I98:S98" si="18">IF(MIN(I96,I97)&gt;1,0,MIN(I96,I97))</f>
        <v>4.9999999500000004E-5</v>
      </c>
      <c r="J98" s="226">
        <f t="shared" si="18"/>
        <v>5.0000000500000007E-5</v>
      </c>
      <c r="K98" s="226">
        <f t="shared" si="18"/>
        <v>4.9999999500000004E-5</v>
      </c>
      <c r="L98" s="226">
        <f t="shared" si="18"/>
        <v>0</v>
      </c>
      <c r="M98" s="226">
        <f t="shared" si="18"/>
        <v>0</v>
      </c>
      <c r="N98" s="226">
        <f t="shared" si="18"/>
        <v>0</v>
      </c>
      <c r="O98" s="226">
        <f t="shared" si="18"/>
        <v>0</v>
      </c>
      <c r="P98" s="226">
        <f t="shared" si="18"/>
        <v>0</v>
      </c>
      <c r="Q98" s="226">
        <f t="shared" si="18"/>
        <v>0</v>
      </c>
      <c r="R98" s="226">
        <f t="shared" si="18"/>
        <v>0</v>
      </c>
      <c r="S98" s="226">
        <f t="shared" si="18"/>
        <v>0</v>
      </c>
    </row>
    <row r="99" spans="1:19">
      <c r="A99" s="102"/>
      <c r="B99" s="211"/>
      <c r="C99" s="211"/>
      <c r="H99" s="149" t="s">
        <v>262</v>
      </c>
      <c r="I99" s="149"/>
      <c r="J99" s="149"/>
      <c r="K99" s="149"/>
      <c r="L99" s="149"/>
      <c r="M99" s="149"/>
      <c r="N99" s="149"/>
      <c r="O99" s="149"/>
      <c r="P99" s="149"/>
      <c r="Q99" s="149"/>
      <c r="R99" s="149"/>
      <c r="S99" s="149"/>
    </row>
    <row r="100" spans="1:19">
      <c r="A100" s="102"/>
      <c r="B100" s="211"/>
      <c r="C100" s="211"/>
      <c r="G100" s="115" t="s">
        <v>259</v>
      </c>
      <c r="H100" s="154">
        <f t="shared" ref="H100:S100" si="19">H49/ABS(H31+0.000001)</f>
        <v>5000</v>
      </c>
      <c r="I100" s="154">
        <f t="shared" si="19"/>
        <v>5000</v>
      </c>
      <c r="J100" s="154">
        <f t="shared" si="19"/>
        <v>5000</v>
      </c>
      <c r="K100" s="154">
        <f t="shared" si="19"/>
        <v>5000</v>
      </c>
      <c r="L100" s="154">
        <f t="shared" si="19"/>
        <v>0</v>
      </c>
      <c r="M100" s="154">
        <f t="shared" si="19"/>
        <v>0</v>
      </c>
      <c r="N100" s="154">
        <f t="shared" si="19"/>
        <v>0</v>
      </c>
      <c r="O100" s="154">
        <f t="shared" si="19"/>
        <v>0</v>
      </c>
      <c r="P100" s="154">
        <f t="shared" si="19"/>
        <v>0</v>
      </c>
      <c r="Q100" s="154">
        <f t="shared" si="19"/>
        <v>0</v>
      </c>
      <c r="R100" s="154">
        <f t="shared" si="19"/>
        <v>0</v>
      </c>
      <c r="S100" s="154">
        <f t="shared" si="19"/>
        <v>0</v>
      </c>
    </row>
    <row r="101" spans="1:19">
      <c r="A101" s="102"/>
      <c r="B101" s="211"/>
      <c r="C101" s="211"/>
      <c r="G101" s="115" t="s">
        <v>259</v>
      </c>
      <c r="H101" s="227">
        <f t="shared" ref="H101:S101" si="20">H47/ABS(H33+0.000001)</f>
        <v>4.9999999500000004E-5</v>
      </c>
      <c r="I101" s="227">
        <f t="shared" si="20"/>
        <v>5.0000000500000007E-5</v>
      </c>
      <c r="J101" s="227">
        <f t="shared" si="20"/>
        <v>5.0000000500000007E-5</v>
      </c>
      <c r="K101" s="227">
        <f t="shared" si="20"/>
        <v>4.9999999500000004E-5</v>
      </c>
      <c r="L101" s="227">
        <f t="shared" si="20"/>
        <v>0</v>
      </c>
      <c r="M101" s="227">
        <f t="shared" si="20"/>
        <v>0</v>
      </c>
      <c r="N101" s="227">
        <f t="shared" si="20"/>
        <v>0</v>
      </c>
      <c r="O101" s="227">
        <f t="shared" si="20"/>
        <v>0</v>
      </c>
      <c r="P101" s="227">
        <f t="shared" si="20"/>
        <v>0</v>
      </c>
      <c r="Q101" s="227">
        <f t="shared" si="20"/>
        <v>0</v>
      </c>
      <c r="R101" s="227">
        <f t="shared" si="20"/>
        <v>0</v>
      </c>
      <c r="S101" s="227">
        <f t="shared" si="20"/>
        <v>0</v>
      </c>
    </row>
    <row r="102" spans="1:19">
      <c r="A102" s="102"/>
      <c r="B102" s="211"/>
      <c r="C102" s="211"/>
      <c r="G102" s="81" t="s">
        <v>257</v>
      </c>
      <c r="H102" s="226">
        <f>IF(MIN(H100,H101)&gt;1,0,MIN(H100,H101))</f>
        <v>4.9999999500000004E-5</v>
      </c>
      <c r="I102" s="226">
        <f t="shared" ref="I102:S102" si="21">IF(MIN(I100,I101)&gt;1,0,MIN(I100,I101))</f>
        <v>5.0000000500000007E-5</v>
      </c>
      <c r="J102" s="226">
        <f t="shared" si="21"/>
        <v>5.0000000500000007E-5</v>
      </c>
      <c r="K102" s="226">
        <f t="shared" si="21"/>
        <v>4.9999999500000004E-5</v>
      </c>
      <c r="L102" s="226">
        <f t="shared" si="21"/>
        <v>0</v>
      </c>
      <c r="M102" s="226">
        <f t="shared" si="21"/>
        <v>0</v>
      </c>
      <c r="N102" s="226">
        <f t="shared" si="21"/>
        <v>0</v>
      </c>
      <c r="O102" s="226">
        <f t="shared" si="21"/>
        <v>0</v>
      </c>
      <c r="P102" s="226">
        <f t="shared" si="21"/>
        <v>0</v>
      </c>
      <c r="Q102" s="226">
        <f t="shared" si="21"/>
        <v>0</v>
      </c>
      <c r="R102" s="226">
        <f t="shared" si="21"/>
        <v>0</v>
      </c>
      <c r="S102" s="226">
        <f t="shared" si="21"/>
        <v>0</v>
      </c>
    </row>
    <row r="103" spans="1:19">
      <c r="A103" s="102"/>
      <c r="B103" s="211"/>
      <c r="C103" s="211"/>
      <c r="H103" s="81" t="s">
        <v>263</v>
      </c>
    </row>
    <row r="104" spans="1:19">
      <c r="A104" s="102"/>
      <c r="B104" s="211"/>
      <c r="C104" s="211"/>
      <c r="G104" s="149" t="s">
        <v>259</v>
      </c>
      <c r="H104" s="81">
        <f t="shared" ref="H104:S104" si="22">H48/ABS(H31+0.000001)</f>
        <v>5000</v>
      </c>
      <c r="I104" s="81">
        <f t="shared" si="22"/>
        <v>5000</v>
      </c>
      <c r="J104" s="81">
        <f t="shared" si="22"/>
        <v>5000</v>
      </c>
      <c r="K104" s="81">
        <f t="shared" si="22"/>
        <v>5000</v>
      </c>
      <c r="L104" s="81">
        <f t="shared" si="22"/>
        <v>0</v>
      </c>
      <c r="M104" s="81">
        <f t="shared" si="22"/>
        <v>0</v>
      </c>
      <c r="N104" s="81">
        <f t="shared" si="22"/>
        <v>0</v>
      </c>
      <c r="O104" s="81">
        <f t="shared" si="22"/>
        <v>0</v>
      </c>
      <c r="P104" s="81">
        <f t="shared" si="22"/>
        <v>0</v>
      </c>
      <c r="Q104" s="81">
        <f t="shared" si="22"/>
        <v>0</v>
      </c>
      <c r="R104" s="81">
        <f t="shared" si="22"/>
        <v>0</v>
      </c>
      <c r="S104" s="81">
        <f t="shared" si="22"/>
        <v>0</v>
      </c>
    </row>
    <row r="105" spans="1:19">
      <c r="A105" s="102"/>
      <c r="B105" s="211"/>
      <c r="C105" s="211"/>
      <c r="G105" s="149" t="s">
        <v>259</v>
      </c>
      <c r="H105" s="81">
        <f t="shared" ref="H105:S105" si="23">H47/ABS(H32+0.000001)</f>
        <v>4.9999999500000004E-5</v>
      </c>
      <c r="I105" s="81">
        <f t="shared" si="23"/>
        <v>4.9999999500000004E-5</v>
      </c>
      <c r="J105" s="81">
        <f t="shared" si="23"/>
        <v>5.0000000500000007E-5</v>
      </c>
      <c r="K105" s="81">
        <f t="shared" si="23"/>
        <v>5.0000000500000007E-5</v>
      </c>
      <c r="L105" s="81">
        <f t="shared" si="23"/>
        <v>0</v>
      </c>
      <c r="M105" s="81">
        <f t="shared" si="23"/>
        <v>0</v>
      </c>
      <c r="N105" s="81">
        <f t="shared" si="23"/>
        <v>0</v>
      </c>
      <c r="O105" s="81">
        <f t="shared" si="23"/>
        <v>0</v>
      </c>
      <c r="P105" s="81">
        <f t="shared" si="23"/>
        <v>0</v>
      </c>
      <c r="Q105" s="81">
        <f t="shared" si="23"/>
        <v>0</v>
      </c>
      <c r="R105" s="81">
        <f t="shared" si="23"/>
        <v>0</v>
      </c>
      <c r="S105" s="81">
        <f t="shared" si="23"/>
        <v>0</v>
      </c>
    </row>
    <row r="106" spans="1:19">
      <c r="A106" s="102"/>
      <c r="B106" s="211"/>
      <c r="C106" s="211"/>
      <c r="G106" s="81" t="s">
        <v>257</v>
      </c>
      <c r="H106" s="226">
        <f>IF(MIN(H104,H105)&gt;1,0,MIN(H104,H105))</f>
        <v>4.9999999500000004E-5</v>
      </c>
      <c r="I106" s="226">
        <f t="shared" ref="I106:S106" si="24">IF(MIN(I104,I105)&gt;1,0,MIN(I104,I105))</f>
        <v>4.9999999500000004E-5</v>
      </c>
      <c r="J106" s="226">
        <f t="shared" si="24"/>
        <v>5.0000000500000007E-5</v>
      </c>
      <c r="K106" s="226">
        <f t="shared" si="24"/>
        <v>5.0000000500000007E-5</v>
      </c>
      <c r="L106" s="226">
        <f t="shared" si="24"/>
        <v>0</v>
      </c>
      <c r="M106" s="226">
        <f t="shared" si="24"/>
        <v>0</v>
      </c>
      <c r="N106" s="226">
        <f t="shared" si="24"/>
        <v>0</v>
      </c>
      <c r="O106" s="226">
        <f t="shared" si="24"/>
        <v>0</v>
      </c>
      <c r="P106" s="226">
        <f t="shared" si="24"/>
        <v>0</v>
      </c>
      <c r="Q106" s="226">
        <f t="shared" si="24"/>
        <v>0</v>
      </c>
      <c r="R106" s="226">
        <f t="shared" si="24"/>
        <v>0</v>
      </c>
      <c r="S106" s="226">
        <f t="shared" si="24"/>
        <v>0</v>
      </c>
    </row>
    <row r="107" spans="1:19">
      <c r="A107" s="102"/>
      <c r="B107" s="211"/>
      <c r="C107" s="211"/>
    </row>
    <row r="108" spans="1:19">
      <c r="A108" s="102"/>
      <c r="B108" s="211"/>
      <c r="C108" s="211"/>
      <c r="G108" s="225" t="s">
        <v>308</v>
      </c>
      <c r="H108" s="225"/>
      <c r="I108" s="225"/>
      <c r="J108" s="225"/>
      <c r="K108" s="225"/>
      <c r="L108" s="225"/>
      <c r="M108" s="225"/>
      <c r="N108" s="225"/>
      <c r="O108" s="225"/>
      <c r="P108" s="225"/>
    </row>
    <row r="109" spans="1:19">
      <c r="A109" s="102"/>
      <c r="B109" s="211"/>
      <c r="C109" s="211"/>
      <c r="H109" s="102" t="s">
        <v>254</v>
      </c>
      <c r="I109" s="102"/>
      <c r="J109" s="102"/>
      <c r="K109" s="102"/>
      <c r="L109" s="102"/>
      <c r="M109" s="102"/>
      <c r="N109" s="102"/>
      <c r="O109" s="102"/>
      <c r="P109" s="102"/>
      <c r="Q109" s="102"/>
      <c r="R109" s="102"/>
      <c r="S109" s="102"/>
    </row>
    <row r="110" spans="1:19">
      <c r="A110" s="102"/>
      <c r="B110" s="211"/>
      <c r="C110" s="211"/>
      <c r="G110" s="149" t="s">
        <v>259</v>
      </c>
      <c r="H110" s="226">
        <f t="shared" ref="H110:S110" si="25">H56/(H33+0.000001)</f>
        <v>0</v>
      </c>
      <c r="I110" s="226">
        <f t="shared" si="25"/>
        <v>0</v>
      </c>
      <c r="J110" s="226">
        <f t="shared" si="25"/>
        <v>0</v>
      </c>
      <c r="K110" s="226">
        <f t="shared" si="25"/>
        <v>0</v>
      </c>
      <c r="L110" s="226">
        <f t="shared" si="25"/>
        <v>0</v>
      </c>
      <c r="M110" s="226">
        <f t="shared" si="25"/>
        <v>0</v>
      </c>
      <c r="N110" s="226">
        <f t="shared" si="25"/>
        <v>0</v>
      </c>
      <c r="O110" s="226">
        <f t="shared" si="25"/>
        <v>0</v>
      </c>
      <c r="P110" s="226">
        <f t="shared" si="25"/>
        <v>0</v>
      </c>
      <c r="Q110" s="226">
        <f t="shared" si="25"/>
        <v>0</v>
      </c>
      <c r="R110" s="226">
        <f t="shared" si="25"/>
        <v>0</v>
      </c>
      <c r="S110" s="226">
        <f t="shared" si="25"/>
        <v>0</v>
      </c>
    </row>
    <row r="111" spans="1:19">
      <c r="A111" s="102"/>
      <c r="B111" s="211"/>
      <c r="C111" s="211"/>
      <c r="G111" s="149" t="s">
        <v>259</v>
      </c>
      <c r="H111" s="228">
        <f t="shared" ref="H111:S111" si="26">H57/(H32+0.000001)</f>
        <v>0</v>
      </c>
      <c r="I111" s="228">
        <f t="shared" si="26"/>
        <v>0</v>
      </c>
      <c r="J111" s="228">
        <f t="shared" si="26"/>
        <v>0</v>
      </c>
      <c r="K111" s="228">
        <f t="shared" si="26"/>
        <v>0</v>
      </c>
      <c r="L111" s="228">
        <f t="shared" si="26"/>
        <v>0</v>
      </c>
      <c r="M111" s="228">
        <f t="shared" si="26"/>
        <v>0</v>
      </c>
      <c r="N111" s="228">
        <f t="shared" si="26"/>
        <v>0</v>
      </c>
      <c r="O111" s="228">
        <f t="shared" si="26"/>
        <v>0</v>
      </c>
      <c r="P111" s="228">
        <f t="shared" si="26"/>
        <v>0</v>
      </c>
      <c r="Q111" s="228">
        <f t="shared" si="26"/>
        <v>0</v>
      </c>
      <c r="R111" s="228">
        <f t="shared" si="26"/>
        <v>0</v>
      </c>
      <c r="S111" s="228">
        <f t="shared" si="26"/>
        <v>0</v>
      </c>
    </row>
    <row r="112" spans="1:19">
      <c r="G112" s="81" t="s">
        <v>258</v>
      </c>
      <c r="H112" s="144">
        <f>SIGN(H110+0.000000000001)*SIGN(H111+0.000000000001)</f>
        <v>1</v>
      </c>
      <c r="I112" s="144">
        <f t="shared" ref="I112:S112" si="27">SIGN(I110+0.000000000001)*SIGN(I111+0.000000000001)</f>
        <v>1</v>
      </c>
      <c r="J112" s="144">
        <f t="shared" si="27"/>
        <v>1</v>
      </c>
      <c r="K112" s="144">
        <f t="shared" si="27"/>
        <v>1</v>
      </c>
      <c r="L112" s="144">
        <f t="shared" si="27"/>
        <v>1</v>
      </c>
      <c r="M112" s="144">
        <f t="shared" si="27"/>
        <v>1</v>
      </c>
      <c r="N112" s="144">
        <f t="shared" si="27"/>
        <v>1</v>
      </c>
      <c r="O112" s="144">
        <f t="shared" si="27"/>
        <v>1</v>
      </c>
      <c r="P112" s="144">
        <f t="shared" si="27"/>
        <v>1</v>
      </c>
      <c r="Q112" s="144">
        <f t="shared" si="27"/>
        <v>1</v>
      </c>
      <c r="R112" s="144">
        <f t="shared" si="27"/>
        <v>1</v>
      </c>
      <c r="S112" s="144">
        <f t="shared" si="27"/>
        <v>1</v>
      </c>
    </row>
    <row r="113" spans="7:19">
      <c r="G113" s="81" t="s">
        <v>257</v>
      </c>
      <c r="H113" s="226">
        <f>IF(H112*MIN(ABS(H110),ABS(H111))&gt;1,0,H112*MIN(ABS(H110),ABS(H111)))</f>
        <v>0</v>
      </c>
      <c r="I113" s="226">
        <f t="shared" ref="I113:S113" si="28">IF(I112*MIN(ABS(I110),ABS(I111))&gt;1,0,I112*MIN(ABS(I110),ABS(I111)))</f>
        <v>0</v>
      </c>
      <c r="J113" s="226">
        <f t="shared" si="28"/>
        <v>0</v>
      </c>
      <c r="K113" s="226">
        <f t="shared" si="28"/>
        <v>0</v>
      </c>
      <c r="L113" s="226">
        <f t="shared" si="28"/>
        <v>0</v>
      </c>
      <c r="M113" s="226">
        <f t="shared" si="28"/>
        <v>0</v>
      </c>
      <c r="N113" s="226">
        <f t="shared" si="28"/>
        <v>0</v>
      </c>
      <c r="O113" s="226">
        <f t="shared" si="28"/>
        <v>0</v>
      </c>
      <c r="P113" s="226">
        <f t="shared" si="28"/>
        <v>0</v>
      </c>
      <c r="Q113" s="226">
        <f t="shared" si="28"/>
        <v>0</v>
      </c>
      <c r="R113" s="226">
        <f t="shared" si="28"/>
        <v>0</v>
      </c>
      <c r="S113" s="226">
        <f t="shared" si="28"/>
        <v>0</v>
      </c>
    </row>
    <row r="114" spans="7:19">
      <c r="H114" s="102" t="s">
        <v>255</v>
      </c>
      <c r="I114" s="102"/>
      <c r="J114" s="102"/>
      <c r="K114" s="102"/>
      <c r="L114" s="102"/>
      <c r="M114" s="102"/>
      <c r="N114" s="102"/>
      <c r="O114" s="102"/>
      <c r="P114" s="102"/>
      <c r="Q114" s="102"/>
      <c r="R114" s="102"/>
      <c r="S114" s="102"/>
    </row>
    <row r="115" spans="7:19">
      <c r="G115" s="115" t="s">
        <v>259</v>
      </c>
      <c r="H115" s="154">
        <f t="shared" ref="H115:S115" si="29">-H57/(H31+0.000001)</f>
        <v>0</v>
      </c>
      <c r="I115" s="154">
        <f t="shared" si="29"/>
        <v>0</v>
      </c>
      <c r="J115" s="154">
        <f t="shared" si="29"/>
        <v>0</v>
      </c>
      <c r="K115" s="154">
        <f t="shared" si="29"/>
        <v>0</v>
      </c>
      <c r="L115" s="154">
        <f t="shared" si="29"/>
        <v>0</v>
      </c>
      <c r="M115" s="154">
        <f t="shared" si="29"/>
        <v>0</v>
      </c>
      <c r="N115" s="154">
        <f t="shared" si="29"/>
        <v>0</v>
      </c>
      <c r="O115" s="154">
        <f t="shared" si="29"/>
        <v>0</v>
      </c>
      <c r="P115" s="154">
        <f t="shared" si="29"/>
        <v>0</v>
      </c>
      <c r="Q115" s="154">
        <f t="shared" si="29"/>
        <v>0</v>
      </c>
      <c r="R115" s="154">
        <f t="shared" si="29"/>
        <v>0</v>
      </c>
      <c r="S115" s="154">
        <f t="shared" si="29"/>
        <v>0</v>
      </c>
    </row>
    <row r="116" spans="7:19">
      <c r="G116" s="115" t="s">
        <v>259</v>
      </c>
      <c r="H116" s="154">
        <f t="shared" ref="H116:S116" si="30">H55/(H33+0.000001)</f>
        <v>0</v>
      </c>
      <c r="I116" s="154">
        <f t="shared" si="30"/>
        <v>0</v>
      </c>
      <c r="J116" s="154">
        <f t="shared" si="30"/>
        <v>0</v>
      </c>
      <c r="K116" s="154">
        <f t="shared" si="30"/>
        <v>0</v>
      </c>
      <c r="L116" s="154">
        <f t="shared" si="30"/>
        <v>0</v>
      </c>
      <c r="M116" s="154">
        <f t="shared" si="30"/>
        <v>0</v>
      </c>
      <c r="N116" s="154">
        <f t="shared" si="30"/>
        <v>0</v>
      </c>
      <c r="O116" s="154">
        <f t="shared" si="30"/>
        <v>0</v>
      </c>
      <c r="P116" s="154">
        <f t="shared" si="30"/>
        <v>0</v>
      </c>
      <c r="Q116" s="154">
        <f t="shared" si="30"/>
        <v>0</v>
      </c>
      <c r="R116" s="154">
        <f t="shared" si="30"/>
        <v>0</v>
      </c>
      <c r="S116" s="154">
        <f t="shared" si="30"/>
        <v>0</v>
      </c>
    </row>
    <row r="117" spans="7:19">
      <c r="G117" s="154" t="s">
        <v>258</v>
      </c>
      <c r="H117" s="229">
        <f>SIGN(H115+0.000000000001)*SIGN(H116+0.000000000001)</f>
        <v>1</v>
      </c>
      <c r="I117" s="229">
        <f t="shared" ref="I117:S117" si="31">SIGN(I115+0.000000000001)*SIGN(I116+0.000000000001)</f>
        <v>1</v>
      </c>
      <c r="J117" s="229">
        <f t="shared" si="31"/>
        <v>1</v>
      </c>
      <c r="K117" s="229">
        <f t="shared" si="31"/>
        <v>1</v>
      </c>
      <c r="L117" s="229">
        <f t="shared" si="31"/>
        <v>1</v>
      </c>
      <c r="M117" s="229">
        <f t="shared" si="31"/>
        <v>1</v>
      </c>
      <c r="N117" s="229">
        <f t="shared" si="31"/>
        <v>1</v>
      </c>
      <c r="O117" s="229">
        <f t="shared" si="31"/>
        <v>1</v>
      </c>
      <c r="P117" s="229">
        <f t="shared" si="31"/>
        <v>1</v>
      </c>
      <c r="Q117" s="229">
        <f t="shared" si="31"/>
        <v>1</v>
      </c>
      <c r="R117" s="229">
        <f t="shared" si="31"/>
        <v>1</v>
      </c>
      <c r="S117" s="229">
        <f t="shared" si="31"/>
        <v>1</v>
      </c>
    </row>
    <row r="118" spans="7:19">
      <c r="G118" s="154" t="s">
        <v>257</v>
      </c>
      <c r="H118" s="230">
        <f>IF(H117*MIN(ABS(H115),ABS(H116))&gt;1,0,H117*MIN(ABS(H115),ABS(H116)))</f>
        <v>0</v>
      </c>
      <c r="I118" s="230">
        <f t="shared" ref="I118:S118" si="32">IF(I117*MIN(ABS(I115),ABS(I116))&gt;1,0,I117*MIN(ABS(I115),ABS(I116)))</f>
        <v>0</v>
      </c>
      <c r="J118" s="230">
        <f t="shared" si="32"/>
        <v>0</v>
      </c>
      <c r="K118" s="230">
        <f t="shared" si="32"/>
        <v>0</v>
      </c>
      <c r="L118" s="230">
        <f t="shared" si="32"/>
        <v>0</v>
      </c>
      <c r="M118" s="230">
        <f t="shared" si="32"/>
        <v>0</v>
      </c>
      <c r="N118" s="230">
        <f t="shared" si="32"/>
        <v>0</v>
      </c>
      <c r="O118" s="230">
        <f t="shared" si="32"/>
        <v>0</v>
      </c>
      <c r="P118" s="230">
        <f t="shared" si="32"/>
        <v>0</v>
      </c>
      <c r="Q118" s="230">
        <f t="shared" si="32"/>
        <v>0</v>
      </c>
      <c r="R118" s="230">
        <f t="shared" si="32"/>
        <v>0</v>
      </c>
      <c r="S118" s="230">
        <f t="shared" si="32"/>
        <v>0</v>
      </c>
    </row>
    <row r="119" spans="7:19">
      <c r="H119" s="102" t="s">
        <v>256</v>
      </c>
      <c r="I119" s="102"/>
      <c r="J119" s="102"/>
      <c r="K119" s="102"/>
      <c r="L119" s="102"/>
      <c r="M119" s="102"/>
      <c r="N119" s="102"/>
      <c r="O119" s="102"/>
      <c r="P119" s="102"/>
      <c r="Q119" s="102"/>
      <c r="R119" s="102"/>
      <c r="S119" s="102"/>
    </row>
    <row r="120" spans="7:19">
      <c r="G120" s="149" t="s">
        <v>259</v>
      </c>
      <c r="H120" s="226">
        <f t="shared" ref="H120:S120" si="33">H56/(H31+0.000001)</f>
        <v>0</v>
      </c>
      <c r="I120" s="226">
        <f t="shared" si="33"/>
        <v>0</v>
      </c>
      <c r="J120" s="226">
        <f t="shared" si="33"/>
        <v>0</v>
      </c>
      <c r="K120" s="226">
        <f t="shared" si="33"/>
        <v>0</v>
      </c>
      <c r="L120" s="226">
        <f t="shared" si="33"/>
        <v>0</v>
      </c>
      <c r="M120" s="226">
        <f t="shared" si="33"/>
        <v>0</v>
      </c>
      <c r="N120" s="226">
        <f t="shared" si="33"/>
        <v>0</v>
      </c>
      <c r="O120" s="226">
        <f t="shared" si="33"/>
        <v>0</v>
      </c>
      <c r="P120" s="226">
        <f t="shared" si="33"/>
        <v>0</v>
      </c>
      <c r="Q120" s="226">
        <f t="shared" si="33"/>
        <v>0</v>
      </c>
      <c r="R120" s="226">
        <f t="shared" si="33"/>
        <v>0</v>
      </c>
      <c r="S120" s="226">
        <f t="shared" si="33"/>
        <v>0</v>
      </c>
    </row>
    <row r="121" spans="7:19">
      <c r="G121" s="149" t="s">
        <v>259</v>
      </c>
      <c r="H121" s="81">
        <f t="shared" ref="H121:S121" si="34">H55/(H32+0.000001)</f>
        <v>0</v>
      </c>
      <c r="I121" s="81">
        <f t="shared" si="34"/>
        <v>0</v>
      </c>
      <c r="J121" s="81">
        <f t="shared" si="34"/>
        <v>0</v>
      </c>
      <c r="K121" s="81">
        <f t="shared" si="34"/>
        <v>0</v>
      </c>
      <c r="L121" s="81">
        <f t="shared" si="34"/>
        <v>0</v>
      </c>
      <c r="M121" s="81">
        <f t="shared" si="34"/>
        <v>0</v>
      </c>
      <c r="N121" s="81">
        <f t="shared" si="34"/>
        <v>0</v>
      </c>
      <c r="O121" s="81">
        <f t="shared" si="34"/>
        <v>0</v>
      </c>
      <c r="P121" s="81">
        <f t="shared" si="34"/>
        <v>0</v>
      </c>
      <c r="Q121" s="81">
        <f t="shared" si="34"/>
        <v>0</v>
      </c>
      <c r="R121" s="81">
        <f t="shared" si="34"/>
        <v>0</v>
      </c>
      <c r="S121" s="81">
        <f t="shared" si="34"/>
        <v>0</v>
      </c>
    </row>
    <row r="122" spans="7:19">
      <c r="G122" s="81" t="s">
        <v>258</v>
      </c>
      <c r="H122" s="144">
        <f>SIGN(H120+0.000000000001)*SIGN(H121+0.000000000001)</f>
        <v>1</v>
      </c>
      <c r="I122" s="144">
        <f t="shared" ref="I122:S122" si="35">SIGN(I120+0.000000000001)*SIGN(I121+0.000000000001)</f>
        <v>1</v>
      </c>
      <c r="J122" s="144">
        <f t="shared" si="35"/>
        <v>1</v>
      </c>
      <c r="K122" s="144">
        <f t="shared" si="35"/>
        <v>1</v>
      </c>
      <c r="L122" s="144">
        <f t="shared" si="35"/>
        <v>1</v>
      </c>
      <c r="M122" s="144">
        <f t="shared" si="35"/>
        <v>1</v>
      </c>
      <c r="N122" s="144">
        <f t="shared" si="35"/>
        <v>1</v>
      </c>
      <c r="O122" s="144">
        <f t="shared" si="35"/>
        <v>1</v>
      </c>
      <c r="P122" s="144">
        <f t="shared" si="35"/>
        <v>1</v>
      </c>
      <c r="Q122" s="144">
        <f t="shared" si="35"/>
        <v>1</v>
      </c>
      <c r="R122" s="144">
        <f t="shared" si="35"/>
        <v>1</v>
      </c>
      <c r="S122" s="144">
        <f t="shared" si="35"/>
        <v>1</v>
      </c>
    </row>
    <row r="123" spans="7:19">
      <c r="G123" s="81" t="s">
        <v>257</v>
      </c>
      <c r="H123" s="226">
        <f>IF(H122*MIN(ABS(H120),ABS(H121))&gt;1,0,H122*MIN(ABS(H120),ABS(H121)))</f>
        <v>0</v>
      </c>
      <c r="I123" s="226">
        <f t="shared" ref="I123:S123" si="36">IF(I122*MIN(ABS(I120),ABS(I121))&gt;1,0,I122*MIN(ABS(I120),ABS(I121)))</f>
        <v>0</v>
      </c>
      <c r="J123" s="226">
        <f t="shared" si="36"/>
        <v>0</v>
      </c>
      <c r="K123" s="226">
        <f t="shared" si="36"/>
        <v>0</v>
      </c>
      <c r="L123" s="226">
        <f t="shared" si="36"/>
        <v>0</v>
      </c>
      <c r="M123" s="226">
        <f t="shared" si="36"/>
        <v>0</v>
      </c>
      <c r="N123" s="226">
        <f t="shared" si="36"/>
        <v>0</v>
      </c>
      <c r="O123" s="226">
        <f t="shared" si="36"/>
        <v>0</v>
      </c>
      <c r="P123" s="226">
        <f t="shared" si="36"/>
        <v>0</v>
      </c>
      <c r="Q123" s="226">
        <f t="shared" si="36"/>
        <v>0</v>
      </c>
      <c r="R123" s="226">
        <f t="shared" si="36"/>
        <v>0</v>
      </c>
      <c r="S123" s="226">
        <f t="shared" si="36"/>
        <v>0</v>
      </c>
    </row>
    <row r="124" spans="7:19">
      <c r="G124" s="149"/>
    </row>
    <row r="125" spans="7:19">
      <c r="H125" s="144"/>
      <c r="I125" s="144"/>
      <c r="J125" s="144"/>
      <c r="K125" s="144"/>
      <c r="L125" s="144"/>
      <c r="M125" s="144"/>
      <c r="N125" s="144"/>
      <c r="O125" s="144"/>
      <c r="P125" s="144"/>
      <c r="Q125" s="144"/>
      <c r="R125" s="144"/>
      <c r="S125" s="144"/>
    </row>
    <row r="126" spans="7:19">
      <c r="H126" s="226"/>
      <c r="I126" s="226"/>
      <c r="J126" s="226"/>
      <c r="K126" s="226"/>
      <c r="L126" s="226"/>
      <c r="M126" s="226"/>
      <c r="N126" s="226"/>
      <c r="O126" s="226"/>
      <c r="P126" s="226"/>
      <c r="Q126" s="226"/>
      <c r="R126" s="226"/>
      <c r="S126" s="226"/>
    </row>
  </sheetData>
  <mergeCells count="7">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topLeftCell="A2" zoomScale="200" zoomScaleNormal="200" zoomScalePageLayoutView="200" workbookViewId="0">
      <selection activeCell="J18" sqref="J18"/>
    </sheetView>
  </sheetViews>
  <sheetFormatPr baseColWidth="10" defaultColWidth="11" defaultRowHeight="15" x14ac:dyDescent="0"/>
  <cols>
    <col min="1" max="1" width="45.33203125" style="81" customWidth="1"/>
    <col min="2" max="2" width="16.83203125" style="81" customWidth="1"/>
    <col min="3" max="3" width="38" style="81" customWidth="1"/>
    <col min="4" max="4" width="10.6640625" style="81" customWidth="1"/>
    <col min="5" max="6" width="7.1640625" style="81" customWidth="1"/>
    <col min="7" max="12" width="9.6640625" style="81" customWidth="1"/>
    <col min="13" max="16384" width="11" style="81"/>
  </cols>
  <sheetData>
    <row r="1" spans="1:18">
      <c r="A1" s="207" t="str">
        <f>'CSs and Loads'!A45</f>
        <v>CS 2</v>
      </c>
      <c r="B1" s="207" t="str">
        <f>'CSs and Loads'!A55</f>
        <v>vertical column</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162" t="s">
        <v>321</v>
      </c>
      <c r="B4" s="179" t="s">
        <v>335</v>
      </c>
      <c r="C4" s="82" t="s">
        <v>376</v>
      </c>
      <c r="D4" s="169"/>
      <c r="E4" s="335" t="s">
        <v>373</v>
      </c>
      <c r="F4" s="336"/>
      <c r="G4" s="336"/>
      <c r="H4" s="336"/>
      <c r="I4" s="336"/>
      <c r="J4" s="336"/>
      <c r="K4" s="336"/>
      <c r="L4" s="336"/>
      <c r="M4" s="337"/>
      <c r="N4" s="181"/>
    </row>
    <row r="5" spans="1:18">
      <c r="A5" s="161" t="s">
        <v>341</v>
      </c>
      <c r="B5" s="179" t="s">
        <v>342</v>
      </c>
      <c r="C5" s="102" t="s">
        <v>388</v>
      </c>
      <c r="D5" s="169">
        <v>75</v>
      </c>
      <c r="E5" s="182" t="s">
        <v>282</v>
      </c>
      <c r="F5" s="353" t="s">
        <v>285</v>
      </c>
      <c r="G5" s="377">
        <f>B11^3/(3*B7*B18)</f>
        <v>3.2589153495434393E-4</v>
      </c>
      <c r="H5" s="81">
        <v>0</v>
      </c>
      <c r="I5" s="81">
        <v>0</v>
      </c>
      <c r="J5" s="81">
        <v>0</v>
      </c>
      <c r="K5" s="199">
        <f>-(B11/(3*B7*B17*B12))*(3*B11*B12-B12^2-2*B11^2)</f>
        <v>3.1115084991476958E-7</v>
      </c>
      <c r="L5" s="197"/>
      <c r="M5" s="183" t="s">
        <v>276</v>
      </c>
      <c r="N5" s="181"/>
    </row>
    <row r="6" spans="1:18">
      <c r="A6" s="161" t="s">
        <v>344</v>
      </c>
      <c r="B6" s="178" t="s">
        <v>336</v>
      </c>
      <c r="C6" s="102" t="s">
        <v>32</v>
      </c>
      <c r="D6" s="169">
        <v>20000</v>
      </c>
      <c r="E6" s="182" t="s">
        <v>283</v>
      </c>
      <c r="F6" s="354"/>
      <c r="G6" s="81">
        <v>0</v>
      </c>
      <c r="H6" s="158">
        <f>(B11^2/(3*B7*B18*B12))*(B12^2-2*B11*B12+B11^2)</f>
        <v>7.3325595364727371E-4</v>
      </c>
      <c r="I6" s="81">
        <v>0</v>
      </c>
      <c r="J6" s="199">
        <f>(B11/(3*B7*B17*B12))*(3*B11*B12-B12^2-2*B11^2)</f>
        <v>-3.1115084991476958E-7</v>
      </c>
      <c r="K6" s="153">
        <v>0</v>
      </c>
      <c r="L6" s="81">
        <v>0</v>
      </c>
      <c r="M6" s="183" t="s">
        <v>277</v>
      </c>
      <c r="N6" s="181"/>
    </row>
    <row r="7" spans="1:18">
      <c r="A7" s="102" t="s">
        <v>291</v>
      </c>
      <c r="B7" s="192">
        <v>200000</v>
      </c>
      <c r="C7" s="102" t="s">
        <v>243</v>
      </c>
      <c r="D7" s="169">
        <f>500*1000</f>
        <v>500000</v>
      </c>
      <c r="E7" s="182" t="s">
        <v>284</v>
      </c>
      <c r="F7" s="354"/>
      <c r="G7" s="81">
        <v>0</v>
      </c>
      <c r="H7" s="81">
        <v>0</v>
      </c>
      <c r="I7" s="158">
        <f>B11/(B16*B7)</f>
        <v>1.5096618357487922E-6</v>
      </c>
      <c r="J7" s="200">
        <v>0</v>
      </c>
      <c r="K7" s="98"/>
      <c r="L7" s="81">
        <v>0</v>
      </c>
      <c r="M7" s="183" t="s">
        <v>278</v>
      </c>
      <c r="N7" s="181"/>
    </row>
    <row r="8" spans="1:18">
      <c r="A8" s="102" t="s">
        <v>287</v>
      </c>
      <c r="B8" s="169">
        <v>0.28999999999999998</v>
      </c>
      <c r="C8" s="102" t="s">
        <v>33</v>
      </c>
      <c r="D8" s="169">
        <v>3</v>
      </c>
      <c r="E8" s="182" t="s">
        <v>273</v>
      </c>
      <c r="F8" s="354"/>
      <c r="G8" s="81">
        <v>0</v>
      </c>
      <c r="H8" s="199">
        <f>J6</f>
        <v>-3.1115084991476958E-7</v>
      </c>
      <c r="I8" s="200">
        <v>0</v>
      </c>
      <c r="J8" s="158">
        <f>(1/(3*B7*B18*B12))*(2*B12^2+3*B11^2-3*B11*B12)</f>
        <v>7.4955053039499107E-9</v>
      </c>
      <c r="K8" s="81">
        <v>0</v>
      </c>
      <c r="L8" s="81">
        <v>0</v>
      </c>
      <c r="M8" s="183" t="s">
        <v>279</v>
      </c>
      <c r="N8" s="181"/>
    </row>
    <row r="9" spans="1:18">
      <c r="A9" s="102" t="s">
        <v>292</v>
      </c>
      <c r="B9" s="180">
        <f>B7/(2*(1+B8))</f>
        <v>77519.379844961237</v>
      </c>
      <c r="C9" s="102" t="s">
        <v>34</v>
      </c>
      <c r="D9" s="169">
        <v>0.01</v>
      </c>
      <c r="E9" s="182" t="s">
        <v>275</v>
      </c>
      <c r="F9" s="354"/>
      <c r="G9" s="199">
        <f>K5</f>
        <v>3.1115084991476958E-7</v>
      </c>
      <c r="H9" s="81">
        <v>0</v>
      </c>
      <c r="I9" s="81">
        <v>0</v>
      </c>
      <c r="J9" s="81">
        <v>0</v>
      </c>
      <c r="K9" s="158">
        <f>(1/(3*B7*B17*B12))*(2*B12^2+3*B11^2-3*B11*B12)</f>
        <v>2.3854898493465668E-9</v>
      </c>
      <c r="L9" s="81">
        <v>0</v>
      </c>
      <c r="M9" s="183" t="s">
        <v>280</v>
      </c>
      <c r="N9" s="181"/>
    </row>
    <row r="10" spans="1:18" ht="16" thickBot="1">
      <c r="A10" s="191" t="s">
        <v>346</v>
      </c>
      <c r="B10" s="82"/>
      <c r="C10" s="102" t="s">
        <v>288</v>
      </c>
      <c r="D10" s="180">
        <f>D6/(D8*D9)</f>
        <v>666666.66666666674</v>
      </c>
      <c r="E10" s="184" t="s">
        <v>274</v>
      </c>
      <c r="F10" s="355"/>
      <c r="G10" s="198"/>
      <c r="H10" s="166">
        <v>0</v>
      </c>
      <c r="I10" s="166">
        <v>0</v>
      </c>
      <c r="J10" s="166">
        <v>0</v>
      </c>
      <c r="K10" s="166">
        <v>0</v>
      </c>
      <c r="L10" s="201">
        <f>B11/(B19*B9)</f>
        <v>4.3360720979913132E-9</v>
      </c>
      <c r="M10" s="187" t="s">
        <v>281</v>
      </c>
      <c r="N10" s="181"/>
    </row>
    <row r="11" spans="1:18">
      <c r="A11" s="102" t="s">
        <v>351</v>
      </c>
      <c r="B11" s="197">
        <f>'CSs and Loads'!C25</f>
        <v>500</v>
      </c>
      <c r="C11" s="280" t="s">
        <v>35</v>
      </c>
      <c r="D11" s="278">
        <v>25</v>
      </c>
      <c r="J11" s="82"/>
      <c r="K11" s="163"/>
      <c r="L11" s="163"/>
      <c r="M11" s="163"/>
      <c r="N11" s="163"/>
      <c r="O11" s="163"/>
      <c r="P11" s="164"/>
      <c r="Q11" s="163"/>
      <c r="R11" s="163"/>
    </row>
    <row r="12" spans="1:18">
      <c r="A12" s="102" t="s">
        <v>234</v>
      </c>
      <c r="B12" s="196">
        <v>2000</v>
      </c>
      <c r="C12" s="280" t="s">
        <v>386</v>
      </c>
      <c r="D12" s="282">
        <f>D7*D11^2/4</f>
        <v>78125000</v>
      </c>
      <c r="J12" s="82"/>
      <c r="P12" s="149"/>
    </row>
    <row r="13" spans="1:18">
      <c r="A13" s="102" t="s">
        <v>348</v>
      </c>
      <c r="B13" s="210">
        <v>50</v>
      </c>
      <c r="C13" s="280" t="s">
        <v>289</v>
      </c>
      <c r="D13" s="282">
        <f>D7*D11^2/12</f>
        <v>26041666.666666668</v>
      </c>
      <c r="J13" s="82"/>
      <c r="P13" s="149"/>
    </row>
    <row r="14" spans="1:18">
      <c r="A14" s="102" t="s">
        <v>347</v>
      </c>
      <c r="B14" s="372">
        <v>100</v>
      </c>
      <c r="C14" s="280" t="s">
        <v>290</v>
      </c>
      <c r="D14" s="283">
        <f>D13</f>
        <v>26041666.666666668</v>
      </c>
      <c r="J14" s="82"/>
      <c r="P14" s="149"/>
    </row>
    <row r="15" spans="1:18">
      <c r="A15" s="102" t="s">
        <v>271</v>
      </c>
      <c r="B15" s="210">
        <v>6</v>
      </c>
      <c r="C15" s="284" t="s">
        <v>375</v>
      </c>
      <c r="D15" s="278"/>
      <c r="J15" s="82"/>
      <c r="P15" s="149"/>
    </row>
    <row r="16" spans="1:18">
      <c r="A16" s="102" t="s">
        <v>272</v>
      </c>
      <c r="B16" s="373">
        <f>B14*B13-(B13-2*B15)*(B14-2*B15)</f>
        <v>1656</v>
      </c>
      <c r="C16" s="285" t="s">
        <v>267</v>
      </c>
      <c r="D16" s="278"/>
      <c r="J16" s="82"/>
      <c r="P16" s="149"/>
    </row>
    <row r="17" spans="1:19">
      <c r="A17" s="260" t="s">
        <v>400</v>
      </c>
      <c r="B17" s="373">
        <f>(B13*B14^3-(B13-2*B15)*(B14-2*B15)^3     )/12</f>
        <v>2008672</v>
      </c>
      <c r="C17" s="280" t="s">
        <v>269</v>
      </c>
      <c r="D17" s="278">
        <v>18</v>
      </c>
      <c r="J17" s="82"/>
      <c r="P17" s="149"/>
    </row>
    <row r="18" spans="1:19">
      <c r="A18" s="260" t="s">
        <v>401</v>
      </c>
      <c r="B18" s="373">
        <f>(B13^3*B14-(B13-2*B15)^3*(B14-2*B15)     )/12</f>
        <v>639272</v>
      </c>
      <c r="C18" s="280" t="s">
        <v>234</v>
      </c>
      <c r="D18" s="278">
        <v>2500</v>
      </c>
      <c r="J18" s="189"/>
      <c r="P18" s="149"/>
    </row>
    <row r="19" spans="1:19">
      <c r="A19" s="102" t="s">
        <v>236</v>
      </c>
      <c r="B19" s="373">
        <f>2*B15^2*(B13-B15)^2*(B14-B15)^2/( B13*B15+B14*B15-2*B15^2   )</f>
        <v>1487521.3913043479</v>
      </c>
      <c r="C19" s="280" t="s">
        <v>54</v>
      </c>
      <c r="D19" s="286">
        <v>200000</v>
      </c>
      <c r="J19" s="170"/>
      <c r="K19" s="146"/>
      <c r="N19" s="146"/>
      <c r="O19" s="146"/>
      <c r="P19" s="150"/>
    </row>
    <row r="20" spans="1:19">
      <c r="A20" s="102" t="s">
        <v>339</v>
      </c>
      <c r="B20" s="97">
        <f>B18/B16</f>
        <v>386.03381642512079</v>
      </c>
      <c r="C20" s="280" t="s">
        <v>268</v>
      </c>
      <c r="D20" s="287">
        <f>PI()*D17^2/4*D19/D18</f>
        <v>20357.520395261861</v>
      </c>
      <c r="J20" s="170"/>
      <c r="K20" s="146"/>
      <c r="L20" s="146"/>
      <c r="M20" s="146"/>
      <c r="N20" s="146"/>
      <c r="O20" s="146"/>
      <c r="P20" s="150"/>
    </row>
    <row r="21" spans="1:19" ht="16" thickBot="1">
      <c r="A21" s="102" t="s">
        <v>352</v>
      </c>
      <c r="B21" s="97">
        <f>3*B7*B18/B12^3</f>
        <v>47.945399999999999</v>
      </c>
      <c r="C21" s="288" t="s">
        <v>320</v>
      </c>
      <c r="D21" s="289">
        <v>3</v>
      </c>
      <c r="E21" s="176"/>
      <c r="F21" s="176"/>
      <c r="G21" s="176"/>
      <c r="J21" s="173"/>
      <c r="K21" s="174"/>
      <c r="L21" s="174"/>
      <c r="M21" s="174"/>
      <c r="N21" s="174"/>
      <c r="O21" s="174"/>
      <c r="P21" s="175"/>
      <c r="Q21" s="176"/>
      <c r="R21" s="176"/>
    </row>
    <row r="22" spans="1:19" ht="16" customHeight="1" thickBot="1">
      <c r="A22" s="350" t="s">
        <v>359</v>
      </c>
      <c r="B22" s="351"/>
      <c r="C22" s="351"/>
      <c r="D22" s="351"/>
      <c r="E22" s="351"/>
      <c r="F22" s="351"/>
      <c r="G22" s="351"/>
      <c r="H22" s="351"/>
      <c r="I22" s="351"/>
      <c r="J22" s="351"/>
      <c r="K22" s="351"/>
      <c r="L22" s="351"/>
      <c r="M22" s="352"/>
      <c r="N22" s="181"/>
      <c r="O22" s="211"/>
      <c r="P22" s="211"/>
      <c r="Q22" s="211"/>
      <c r="R22" s="211"/>
    </row>
    <row r="23" spans="1:19" ht="30">
      <c r="A23" s="274" t="s">
        <v>381</v>
      </c>
      <c r="B23" s="234"/>
      <c r="C23" s="242" t="s">
        <v>265</v>
      </c>
      <c r="D23" s="163"/>
      <c r="E23" s="163"/>
      <c r="F23" s="163"/>
      <c r="G23" s="163"/>
      <c r="H23" s="163"/>
      <c r="I23" s="163"/>
      <c r="J23" s="163"/>
      <c r="K23" s="163"/>
      <c r="L23" s="163"/>
      <c r="M23" s="163"/>
      <c r="O23" s="211"/>
      <c r="P23" s="211"/>
      <c r="Q23" s="211"/>
      <c r="R23" s="211"/>
    </row>
    <row r="24" spans="1:19">
      <c r="A24" s="102" t="s">
        <v>3</v>
      </c>
      <c r="B24" s="107"/>
      <c r="C24" s="154"/>
      <c r="O24" s="211"/>
      <c r="P24" s="211"/>
      <c r="Q24" s="211"/>
      <c r="R24" s="211"/>
    </row>
    <row r="25" spans="1:19">
      <c r="A25" s="219" t="s">
        <v>117</v>
      </c>
      <c r="B25" s="152">
        <f>SUM(H35:S35)+C25</f>
        <v>2000000</v>
      </c>
      <c r="C25" s="220">
        <v>0</v>
      </c>
      <c r="O25" s="211"/>
      <c r="P25" s="211"/>
      <c r="Q25" s="211"/>
      <c r="R25" s="211"/>
    </row>
    <row r="26" spans="1:19">
      <c r="A26" s="219" t="s">
        <v>118</v>
      </c>
      <c r="B26" s="152">
        <f>SUM(H36:S36)+C26</f>
        <v>2000000</v>
      </c>
      <c r="C26" s="220">
        <v>0</v>
      </c>
      <c r="G26" s="244" t="s">
        <v>185</v>
      </c>
      <c r="O26" s="211"/>
      <c r="P26" s="211"/>
      <c r="Q26" s="211"/>
      <c r="R26" s="211"/>
    </row>
    <row r="27" spans="1:19">
      <c r="A27" s="219" t="s">
        <v>119</v>
      </c>
      <c r="B27" s="152">
        <f>SUM(H37:S37)+C27</f>
        <v>2000000</v>
      </c>
      <c r="C27" s="220">
        <v>0</v>
      </c>
      <c r="G27" s="82" t="s">
        <v>124</v>
      </c>
      <c r="O27" s="211"/>
      <c r="P27" s="211"/>
      <c r="Q27" s="211"/>
      <c r="R27" s="211"/>
    </row>
    <row r="28" spans="1:19">
      <c r="A28" s="102" t="s">
        <v>115</v>
      </c>
      <c r="B28" s="107"/>
      <c r="C28" s="200"/>
      <c r="D28" s="87"/>
      <c r="E28" s="87"/>
      <c r="F28" s="87"/>
      <c r="G28" s="214" t="s">
        <v>133</v>
      </c>
      <c r="H28" s="215">
        <v>4</v>
      </c>
      <c r="O28" s="211"/>
      <c r="P28" s="211"/>
      <c r="Q28" s="211"/>
      <c r="R28" s="211"/>
    </row>
    <row r="29" spans="1:19">
      <c r="A29" s="219" t="s">
        <v>8</v>
      </c>
      <c r="B29" s="152">
        <f>SUM(H39:S39)+SUM(H43:S43)+C29</f>
        <v>2000404375000</v>
      </c>
      <c r="C29" s="220">
        <v>0</v>
      </c>
      <c r="D29" s="87"/>
      <c r="E29" s="87"/>
      <c r="F29" s="87"/>
      <c r="H29" s="347" t="s">
        <v>129</v>
      </c>
      <c r="I29" s="347"/>
      <c r="J29" s="347"/>
      <c r="K29" s="347"/>
      <c r="L29" s="347"/>
      <c r="M29" s="347"/>
      <c r="N29" s="347"/>
      <c r="O29" s="347"/>
      <c r="P29" s="347"/>
      <c r="Q29" s="347"/>
      <c r="R29" s="347"/>
      <c r="S29" s="347"/>
    </row>
    <row r="30" spans="1:19">
      <c r="A30" s="219" t="s">
        <v>120</v>
      </c>
      <c r="B30" s="152">
        <f>SUM(H40:S40)+SUM(H44:S44)+C30</f>
        <v>2002947291666.6667</v>
      </c>
      <c r="C30" s="220">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19" t="s">
        <v>116</v>
      </c>
      <c r="B31" s="152">
        <f>SUM(H41:S41)+SUM(H45:S45)+C31</f>
        <v>2947291666.6666665</v>
      </c>
      <c r="C31" s="220">
        <v>0</v>
      </c>
      <c r="D31" s="87"/>
      <c r="E31" s="87"/>
      <c r="F31" s="87"/>
      <c r="G31" s="102" t="s">
        <v>42</v>
      </c>
      <c r="H31" s="224">
        <f>D5/2</f>
        <v>37.5</v>
      </c>
      <c r="I31" s="224">
        <f>-H31</f>
        <v>-37.5</v>
      </c>
      <c r="J31" s="224">
        <f>I31</f>
        <v>-37.5</v>
      </c>
      <c r="K31" s="224">
        <f>H31</f>
        <v>37.5</v>
      </c>
      <c r="L31" s="215">
        <v>0</v>
      </c>
      <c r="M31" s="215">
        <v>0</v>
      </c>
      <c r="N31" s="215">
        <v>0</v>
      </c>
      <c r="O31" s="215">
        <v>0</v>
      </c>
      <c r="P31" s="215">
        <v>0</v>
      </c>
      <c r="Q31" s="215">
        <v>0</v>
      </c>
      <c r="R31" s="215">
        <v>0</v>
      </c>
      <c r="S31" s="215">
        <v>0</v>
      </c>
    </row>
    <row r="32" spans="1:19">
      <c r="A32" s="348" t="s">
        <v>190</v>
      </c>
      <c r="B32" s="348"/>
      <c r="C32" s="348"/>
      <c r="D32" s="87"/>
      <c r="E32" s="87"/>
      <c r="F32" s="87"/>
      <c r="G32" s="102" t="s">
        <v>43</v>
      </c>
      <c r="H32" s="224">
        <v>0</v>
      </c>
      <c r="I32" s="224">
        <v>0</v>
      </c>
      <c r="J32" s="224">
        <v>0</v>
      </c>
      <c r="K32" s="224">
        <v>0</v>
      </c>
      <c r="L32" s="215">
        <v>0</v>
      </c>
      <c r="M32" s="215">
        <v>0</v>
      </c>
      <c r="N32" s="215">
        <v>0</v>
      </c>
      <c r="O32" s="215">
        <v>0</v>
      </c>
      <c r="P32" s="215">
        <v>0</v>
      </c>
      <c r="Q32" s="215">
        <v>0</v>
      </c>
      <c r="R32" s="215">
        <v>0</v>
      </c>
      <c r="S32" s="215">
        <v>0</v>
      </c>
    </row>
    <row r="33" spans="1:19">
      <c r="A33" s="348"/>
      <c r="B33" s="348"/>
      <c r="C33" s="348"/>
      <c r="D33" s="87"/>
      <c r="E33" s="87"/>
      <c r="F33" s="87"/>
      <c r="G33" s="102" t="s">
        <v>44</v>
      </c>
      <c r="H33" s="224">
        <f>B12/2</f>
        <v>1000</v>
      </c>
      <c r="I33" s="224">
        <f>H33</f>
        <v>1000</v>
      </c>
      <c r="J33" s="224">
        <f>-I33</f>
        <v>-1000</v>
      </c>
      <c r="K33" s="224">
        <f>J33</f>
        <v>-1000</v>
      </c>
      <c r="L33" s="215">
        <v>0</v>
      </c>
      <c r="M33" s="215">
        <v>0</v>
      </c>
      <c r="N33" s="215">
        <v>0</v>
      </c>
      <c r="O33" s="215">
        <v>0</v>
      </c>
      <c r="P33" s="215">
        <v>0</v>
      </c>
      <c r="Q33" s="215">
        <v>0</v>
      </c>
      <c r="R33" s="215">
        <v>0</v>
      </c>
      <c r="S33" s="215">
        <v>0</v>
      </c>
    </row>
    <row r="34" spans="1:19">
      <c r="A34" s="348"/>
      <c r="B34" s="348"/>
      <c r="C34" s="348"/>
      <c r="G34" s="82" t="s">
        <v>130</v>
      </c>
      <c r="H34" s="349"/>
      <c r="I34" s="349"/>
      <c r="J34" s="349"/>
      <c r="K34" s="349"/>
    </row>
    <row r="35" spans="1:19">
      <c r="A35" s="222" t="s">
        <v>186</v>
      </c>
      <c r="B35" s="215"/>
      <c r="C35" s="215"/>
      <c r="D35" s="87"/>
      <c r="E35" s="87"/>
      <c r="F35" s="87"/>
      <c r="G35" s="102" t="s">
        <v>117</v>
      </c>
      <c r="H35" s="142">
        <f>D7</f>
        <v>500000</v>
      </c>
      <c r="I35" s="142">
        <f>H35</f>
        <v>500000</v>
      </c>
      <c r="J35" s="142">
        <f t="shared" ref="J35:K35" si="1">I35</f>
        <v>500000</v>
      </c>
      <c r="K35" s="142">
        <f t="shared" si="1"/>
        <v>500000</v>
      </c>
      <c r="L35" s="215">
        <v>0</v>
      </c>
      <c r="M35" s="215">
        <v>0</v>
      </c>
      <c r="N35" s="215">
        <v>0</v>
      </c>
      <c r="O35" s="215">
        <v>0</v>
      </c>
      <c r="P35" s="215">
        <v>0</v>
      </c>
      <c r="Q35" s="215">
        <v>0</v>
      </c>
      <c r="R35" s="215">
        <v>0</v>
      </c>
      <c r="S35" s="215">
        <v>0</v>
      </c>
    </row>
    <row r="36" spans="1:19">
      <c r="A36" s="81" t="s">
        <v>109</v>
      </c>
      <c r="D36" s="87"/>
      <c r="E36" s="87"/>
      <c r="F36" s="87"/>
      <c r="G36" s="102" t="s">
        <v>118</v>
      </c>
      <c r="H36" s="142">
        <f>H35</f>
        <v>500000</v>
      </c>
      <c r="I36" s="142">
        <f t="shared" ref="I36:K36" si="2">I35</f>
        <v>500000</v>
      </c>
      <c r="J36" s="142">
        <f t="shared" si="2"/>
        <v>500000</v>
      </c>
      <c r="K36" s="142">
        <f t="shared" si="2"/>
        <v>500000</v>
      </c>
      <c r="L36" s="215">
        <v>0</v>
      </c>
      <c r="M36" s="215">
        <v>0</v>
      </c>
      <c r="N36" s="215">
        <v>0</v>
      </c>
      <c r="O36" s="215">
        <v>0</v>
      </c>
      <c r="P36" s="215">
        <v>0</v>
      </c>
      <c r="Q36" s="215">
        <v>0</v>
      </c>
      <c r="R36" s="215">
        <v>0</v>
      </c>
      <c r="S36" s="215">
        <v>0</v>
      </c>
    </row>
    <row r="37" spans="1:19">
      <c r="A37" s="102" t="s">
        <v>187</v>
      </c>
      <c r="B37" s="215">
        <v>0</v>
      </c>
      <c r="D37" s="87"/>
      <c r="E37" s="87"/>
      <c r="F37" s="87"/>
      <c r="G37" s="102" t="s">
        <v>119</v>
      </c>
      <c r="H37" s="142">
        <f>H36</f>
        <v>500000</v>
      </c>
      <c r="I37" s="142">
        <f t="shared" ref="I37" si="3">I36</f>
        <v>500000</v>
      </c>
      <c r="J37" s="142">
        <f t="shared" ref="J37" si="4">J36</f>
        <v>500000</v>
      </c>
      <c r="K37" s="142">
        <f t="shared" ref="K37" si="5">K36</f>
        <v>500000</v>
      </c>
      <c r="L37" s="215">
        <v>0</v>
      </c>
      <c r="M37" s="215">
        <v>0</v>
      </c>
      <c r="N37" s="215">
        <v>0</v>
      </c>
      <c r="O37" s="215">
        <v>0</v>
      </c>
      <c r="P37" s="215">
        <v>0</v>
      </c>
      <c r="Q37" s="215">
        <v>0</v>
      </c>
      <c r="R37" s="215">
        <v>0</v>
      </c>
      <c r="S37" s="215">
        <v>0</v>
      </c>
    </row>
    <row r="38" spans="1:19">
      <c r="A38" s="102" t="s">
        <v>188</v>
      </c>
      <c r="B38" s="215">
        <v>0</v>
      </c>
      <c r="D38" s="87"/>
      <c r="E38" s="87"/>
      <c r="F38" s="87"/>
      <c r="G38" s="82" t="s">
        <v>131</v>
      </c>
      <c r="H38" s="349"/>
      <c r="I38" s="349"/>
      <c r="J38" s="349"/>
      <c r="K38" s="349"/>
    </row>
    <row r="39" spans="1:19">
      <c r="A39" s="102" t="s">
        <v>189</v>
      </c>
      <c r="B39" s="215">
        <v>0</v>
      </c>
      <c r="D39" s="87"/>
      <c r="E39" s="87"/>
      <c r="F39" s="87"/>
      <c r="G39" s="102" t="s">
        <v>8</v>
      </c>
      <c r="H39" s="142">
        <f>'ref bearings, servo, structure'!B10</f>
        <v>101093750</v>
      </c>
      <c r="I39" s="142">
        <f>H39</f>
        <v>101093750</v>
      </c>
      <c r="J39" s="142">
        <f t="shared" ref="J39:K39" si="6">I39</f>
        <v>101093750</v>
      </c>
      <c r="K39" s="142">
        <f t="shared" si="6"/>
        <v>101093750</v>
      </c>
      <c r="L39" s="215">
        <v>0</v>
      </c>
      <c r="M39" s="215">
        <v>0</v>
      </c>
      <c r="N39" s="215">
        <v>0</v>
      </c>
      <c r="O39" s="215">
        <v>0</v>
      </c>
      <c r="P39" s="215">
        <v>0</v>
      </c>
      <c r="Q39" s="215">
        <v>0</v>
      </c>
      <c r="R39" s="215">
        <v>0</v>
      </c>
      <c r="S39" s="215">
        <v>0</v>
      </c>
    </row>
    <row r="40" spans="1:19">
      <c r="A40" s="149" t="s">
        <v>110</v>
      </c>
      <c r="D40" s="87"/>
      <c r="E40" s="87"/>
      <c r="F40" s="87"/>
      <c r="G40" s="102" t="s">
        <v>120</v>
      </c>
      <c r="H40" s="142">
        <f>'ref bearings, servo, structure'!B12</f>
        <v>33697916.666666664</v>
      </c>
      <c r="I40" s="142">
        <f t="shared" ref="I40:K41" si="7">H40</f>
        <v>33697916.666666664</v>
      </c>
      <c r="J40" s="142">
        <f t="shared" si="7"/>
        <v>33697916.666666664</v>
      </c>
      <c r="K40" s="142">
        <f t="shared" si="7"/>
        <v>33697916.666666664</v>
      </c>
      <c r="L40" s="215">
        <v>0</v>
      </c>
      <c r="M40" s="215">
        <v>0</v>
      </c>
      <c r="N40" s="215">
        <v>0</v>
      </c>
      <c r="O40" s="215">
        <v>0</v>
      </c>
      <c r="P40" s="215">
        <v>0</v>
      </c>
      <c r="Q40" s="215">
        <v>0</v>
      </c>
      <c r="R40" s="215">
        <v>0</v>
      </c>
      <c r="S40" s="215">
        <v>0</v>
      </c>
    </row>
    <row r="41" spans="1:19">
      <c r="A41" s="102" t="s">
        <v>187</v>
      </c>
      <c r="B41" s="215">
        <v>0</v>
      </c>
      <c r="G41" s="102" t="s">
        <v>116</v>
      </c>
      <c r="H41" s="142">
        <f>'ref bearings, servo, structure'!B11</f>
        <v>33697916.666666664</v>
      </c>
      <c r="I41" s="142">
        <f t="shared" si="7"/>
        <v>33697916.666666664</v>
      </c>
      <c r="J41" s="142">
        <f t="shared" si="7"/>
        <v>33697916.666666664</v>
      </c>
      <c r="K41" s="142">
        <f t="shared" si="7"/>
        <v>33697916.666666664</v>
      </c>
      <c r="L41" s="215">
        <v>0</v>
      </c>
      <c r="M41" s="215">
        <v>0</v>
      </c>
      <c r="N41" s="215">
        <v>0</v>
      </c>
      <c r="O41" s="215">
        <v>0</v>
      </c>
      <c r="P41" s="215">
        <v>0</v>
      </c>
      <c r="Q41" s="215">
        <v>0</v>
      </c>
      <c r="R41" s="215">
        <v>0</v>
      </c>
      <c r="S41" s="215">
        <v>0</v>
      </c>
    </row>
    <row r="42" spans="1:19">
      <c r="A42" s="102" t="s">
        <v>188</v>
      </c>
      <c r="B42" s="215">
        <v>0</v>
      </c>
      <c r="D42" s="218"/>
      <c r="E42" s="218"/>
      <c r="F42" s="218"/>
      <c r="G42" s="82" t="s">
        <v>125</v>
      </c>
    </row>
    <row r="43" spans="1:19">
      <c r="A43" s="102" t="s">
        <v>189</v>
      </c>
      <c r="B43" s="215">
        <v>0</v>
      </c>
      <c r="D43" s="154"/>
      <c r="E43" s="154"/>
      <c r="F43" s="154"/>
      <c r="G43" s="102" t="s">
        <v>8</v>
      </c>
      <c r="H43" s="152">
        <f>H36*H33^2+H37*H32^2</f>
        <v>500000000000</v>
      </c>
      <c r="I43" s="152">
        <f t="shared" ref="I43:S43" si="8">I36*I33^2+I37*I32^2</f>
        <v>500000000000</v>
      </c>
      <c r="J43" s="152">
        <f t="shared" si="8"/>
        <v>500000000000</v>
      </c>
      <c r="K43" s="152">
        <f t="shared" si="8"/>
        <v>500000000000</v>
      </c>
      <c r="L43" s="105">
        <f t="shared" si="8"/>
        <v>0</v>
      </c>
      <c r="M43" s="105">
        <f t="shared" si="8"/>
        <v>0</v>
      </c>
      <c r="N43" s="105">
        <f t="shared" si="8"/>
        <v>0</v>
      </c>
      <c r="O43" s="105">
        <f t="shared" si="8"/>
        <v>0</v>
      </c>
      <c r="P43" s="105">
        <f t="shared" si="8"/>
        <v>0</v>
      </c>
      <c r="Q43" s="105">
        <f t="shared" si="8"/>
        <v>0</v>
      </c>
      <c r="R43" s="105">
        <f t="shared" si="8"/>
        <v>0</v>
      </c>
      <c r="S43" s="105">
        <f t="shared" si="8"/>
        <v>0</v>
      </c>
    </row>
    <row r="44" spans="1:19">
      <c r="A44" s="216" t="s">
        <v>207</v>
      </c>
      <c r="D44" s="220"/>
      <c r="E44" s="220"/>
      <c r="F44" s="220"/>
      <c r="G44" s="102" t="s">
        <v>120</v>
      </c>
      <c r="H44" s="152">
        <f>H35*H33^2+H37*H31^2</f>
        <v>500703125000</v>
      </c>
      <c r="I44" s="152">
        <f t="shared" ref="I44:S44" si="9">I35*I33^2+I37*I31^2</f>
        <v>500703125000</v>
      </c>
      <c r="J44" s="152">
        <f t="shared" si="9"/>
        <v>500703125000</v>
      </c>
      <c r="K44" s="152">
        <f t="shared" si="9"/>
        <v>500703125000</v>
      </c>
      <c r="L44" s="105">
        <f t="shared" si="9"/>
        <v>0</v>
      </c>
      <c r="M44" s="105">
        <f t="shared" si="9"/>
        <v>0</v>
      </c>
      <c r="N44" s="105">
        <f t="shared" si="9"/>
        <v>0</v>
      </c>
      <c r="O44" s="105">
        <f t="shared" si="9"/>
        <v>0</v>
      </c>
      <c r="P44" s="105">
        <f t="shared" si="9"/>
        <v>0</v>
      </c>
      <c r="Q44" s="105">
        <f t="shared" si="9"/>
        <v>0</v>
      </c>
      <c r="R44" s="105">
        <f t="shared" si="9"/>
        <v>0</v>
      </c>
      <c r="S44" s="105">
        <f t="shared" si="9"/>
        <v>0</v>
      </c>
    </row>
    <row r="45" spans="1:19">
      <c r="A45" s="102" t="s">
        <v>121</v>
      </c>
      <c r="B45" s="105">
        <f>SQRT((H47^2+I47^2+J47^2+K47^2+L47^2+M47^2+N47^2+O47^2+P47^2+Q47^2+R47^2+S47^2)/H$28)</f>
        <v>5.0000000000000001E-3</v>
      </c>
      <c r="C45" s="87"/>
      <c r="D45" s="220"/>
      <c r="E45" s="220"/>
      <c r="F45" s="220"/>
      <c r="G45" s="102" t="s">
        <v>116</v>
      </c>
      <c r="H45" s="152">
        <f>H35*H32^2+H36*H31^2</f>
        <v>703125000</v>
      </c>
      <c r="I45" s="152">
        <f t="shared" ref="I45:S45" si="10">I35*I32^2+I36*I31^2</f>
        <v>703125000</v>
      </c>
      <c r="J45" s="152">
        <f t="shared" si="10"/>
        <v>703125000</v>
      </c>
      <c r="K45" s="152">
        <f t="shared" si="10"/>
        <v>703125000</v>
      </c>
      <c r="L45" s="105">
        <f t="shared" si="10"/>
        <v>0</v>
      </c>
      <c r="M45" s="105">
        <f t="shared" si="10"/>
        <v>0</v>
      </c>
      <c r="N45" s="105">
        <f t="shared" si="10"/>
        <v>0</v>
      </c>
      <c r="O45" s="105">
        <f t="shared" si="10"/>
        <v>0</v>
      </c>
      <c r="P45" s="105">
        <f t="shared" si="10"/>
        <v>0</v>
      </c>
      <c r="Q45" s="105">
        <f t="shared" si="10"/>
        <v>0</v>
      </c>
      <c r="R45" s="105">
        <f t="shared" si="10"/>
        <v>0</v>
      </c>
      <c r="S45" s="105">
        <f t="shared" si="10"/>
        <v>0</v>
      </c>
    </row>
    <row r="46" spans="1:19">
      <c r="A46" s="102" t="s">
        <v>122</v>
      </c>
      <c r="B46" s="105">
        <f t="shared" ref="B46:B47" si="11">SQRT((H48^2+I48^2+J48^2+K48^2+L48^2+M48^2+N48^2+O48^2+P48^2+Q48^2+R48^2+S48^2)/H$28)</f>
        <v>5.0000000000000001E-3</v>
      </c>
      <c r="C46" s="87"/>
      <c r="D46" s="220"/>
      <c r="E46" s="220"/>
      <c r="F46" s="220"/>
      <c r="G46" s="82" t="s">
        <v>307</v>
      </c>
    </row>
    <row r="47" spans="1:19">
      <c r="A47" s="102" t="s">
        <v>123</v>
      </c>
      <c r="B47" s="105">
        <f t="shared" si="11"/>
        <v>5.0000000000000001E-3</v>
      </c>
      <c r="C47" s="87"/>
      <c r="D47" s="200"/>
      <c r="E47" s="200"/>
      <c r="F47" s="200"/>
      <c r="G47" s="102" t="s">
        <v>121</v>
      </c>
      <c r="H47" s="215">
        <f t="shared" ref="H47:K49" si="12">0.005</f>
        <v>5.0000000000000001E-3</v>
      </c>
      <c r="I47" s="215">
        <f t="shared" si="12"/>
        <v>5.0000000000000001E-3</v>
      </c>
      <c r="J47" s="215">
        <f t="shared" si="12"/>
        <v>5.0000000000000001E-3</v>
      </c>
      <c r="K47" s="215">
        <f t="shared" si="12"/>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5.0000000000000004E-6</v>
      </c>
      <c r="C48" s="87"/>
      <c r="D48" s="220"/>
      <c r="E48" s="220"/>
      <c r="F48" s="220"/>
      <c r="G48" s="102" t="s">
        <v>122</v>
      </c>
      <c r="H48" s="215">
        <f t="shared" si="12"/>
        <v>5.0000000000000001E-3</v>
      </c>
      <c r="I48" s="215">
        <f t="shared" si="12"/>
        <v>5.0000000000000001E-3</v>
      </c>
      <c r="J48" s="215">
        <f t="shared" si="12"/>
        <v>5.0000000000000001E-3</v>
      </c>
      <c r="K48" s="215">
        <f t="shared" si="12"/>
        <v>5.0000000000000001E-3</v>
      </c>
      <c r="L48" s="215">
        <v>0</v>
      </c>
      <c r="M48" s="215">
        <v>0</v>
      </c>
      <c r="N48" s="215">
        <v>0</v>
      </c>
      <c r="O48" s="215">
        <v>0</v>
      </c>
      <c r="P48" s="215">
        <v>0</v>
      </c>
      <c r="Q48" s="215">
        <v>0</v>
      </c>
      <c r="R48" s="215">
        <v>0</v>
      </c>
      <c r="S48" s="215">
        <v>0</v>
      </c>
    </row>
    <row r="49" spans="1:20">
      <c r="A49" s="102" t="s">
        <v>86</v>
      </c>
      <c r="B49" s="105">
        <f>SQRT((H52^2+I52^2+J52^2+K52^2+L52^2+M52^2+N52^2+O52^2+P52^2+Q52^2+R52^2+S52^2+B38^2)/H$28)</f>
        <v>5.0000000000000004E-6</v>
      </c>
      <c r="C49" s="87"/>
      <c r="D49" s="220"/>
      <c r="E49" s="220"/>
      <c r="F49" s="220"/>
      <c r="G49" s="102" t="s">
        <v>123</v>
      </c>
      <c r="H49" s="215">
        <f t="shared" si="12"/>
        <v>5.0000000000000001E-3</v>
      </c>
      <c r="I49" s="215">
        <f t="shared" si="12"/>
        <v>5.0000000000000001E-3</v>
      </c>
      <c r="J49" s="215">
        <f t="shared" si="12"/>
        <v>5.0000000000000001E-3</v>
      </c>
      <c r="K49" s="215">
        <f t="shared" si="12"/>
        <v>5.0000000000000001E-3</v>
      </c>
      <c r="L49" s="215">
        <v>0</v>
      </c>
      <c r="M49" s="215">
        <v>0</v>
      </c>
      <c r="N49" s="215">
        <v>0</v>
      </c>
      <c r="O49" s="215">
        <v>0</v>
      </c>
      <c r="P49" s="215">
        <v>0</v>
      </c>
      <c r="Q49" s="215">
        <v>0</v>
      </c>
      <c r="R49" s="215">
        <v>0</v>
      </c>
      <c r="S49" s="215">
        <v>0</v>
      </c>
    </row>
    <row r="50" spans="1:20">
      <c r="A50" s="102" t="s">
        <v>87</v>
      </c>
      <c r="B50" s="105">
        <f>SQRT((H53^2+I53^2+J53^2+K53^2+L53^2+M53^2+N53^2+O53^2+P53^2+Q53^2+R53^2+S53^2+B39^2)/H$28)</f>
        <v>1.3333333333333348E-4</v>
      </c>
      <c r="C50" s="87"/>
      <c r="D50" s="220"/>
      <c r="E50" s="220"/>
      <c r="F50" s="220"/>
      <c r="G50" s="82" t="s">
        <v>252</v>
      </c>
    </row>
    <row r="51" spans="1:20" ht="45">
      <c r="A51" s="217" t="s">
        <v>208</v>
      </c>
      <c r="B51" s="107"/>
      <c r="D51" s="221"/>
      <c r="E51" s="221"/>
      <c r="F51" s="221"/>
      <c r="G51" s="102" t="s">
        <v>85</v>
      </c>
      <c r="H51" s="152">
        <f t="shared" ref="H51:S51" si="13">H98</f>
        <v>4.9999999950000005E-6</v>
      </c>
      <c r="I51" s="152">
        <f t="shared" si="13"/>
        <v>4.9999999950000005E-6</v>
      </c>
      <c r="J51" s="152">
        <f t="shared" si="13"/>
        <v>5.0000000050000003E-6</v>
      </c>
      <c r="K51" s="152">
        <f t="shared" si="13"/>
        <v>5.0000000050000003E-6</v>
      </c>
      <c r="L51" s="152">
        <f t="shared" si="13"/>
        <v>0</v>
      </c>
      <c r="M51" s="152">
        <f t="shared" si="13"/>
        <v>0</v>
      </c>
      <c r="N51" s="152">
        <f t="shared" si="13"/>
        <v>0</v>
      </c>
      <c r="O51" s="152">
        <f t="shared" si="13"/>
        <v>0</v>
      </c>
      <c r="P51" s="152">
        <f t="shared" si="13"/>
        <v>0</v>
      </c>
      <c r="Q51" s="152">
        <f t="shared" si="13"/>
        <v>0</v>
      </c>
      <c r="R51" s="152">
        <f t="shared" si="13"/>
        <v>0</v>
      </c>
      <c r="S51" s="152">
        <f t="shared" si="13"/>
        <v>0</v>
      </c>
    </row>
    <row r="52" spans="1:20">
      <c r="A52" s="102" t="s">
        <v>121</v>
      </c>
      <c r="B52" s="105">
        <f>SQRT((H55^2+I55^2+J55^2+K55^2+L55^2+M55^2+N55^2+O55^2+P55^2+Q55^2+R55^2+S55^2)/H$28)</f>
        <v>0</v>
      </c>
      <c r="C52" s="87"/>
      <c r="D52" s="221"/>
      <c r="E52" s="221"/>
      <c r="F52" s="221"/>
      <c r="G52" s="102" t="s">
        <v>86</v>
      </c>
      <c r="H52" s="152">
        <f t="shared" ref="H52:S52" si="14">H102</f>
        <v>4.9999999950000005E-6</v>
      </c>
      <c r="I52" s="152">
        <f t="shared" si="14"/>
        <v>4.9999999950000005E-6</v>
      </c>
      <c r="J52" s="152">
        <f t="shared" si="14"/>
        <v>5.0000000050000003E-6</v>
      </c>
      <c r="K52" s="152">
        <f t="shared" si="14"/>
        <v>5.0000000050000003E-6</v>
      </c>
      <c r="L52" s="152">
        <f t="shared" si="14"/>
        <v>0</v>
      </c>
      <c r="M52" s="152">
        <f t="shared" si="14"/>
        <v>0</v>
      </c>
      <c r="N52" s="152">
        <f t="shared" si="14"/>
        <v>0</v>
      </c>
      <c r="O52" s="152">
        <f t="shared" si="14"/>
        <v>0</v>
      </c>
      <c r="P52" s="152">
        <f t="shared" si="14"/>
        <v>0</v>
      </c>
      <c r="Q52" s="152">
        <f t="shared" si="14"/>
        <v>0</v>
      </c>
      <c r="R52" s="152">
        <f t="shared" si="14"/>
        <v>0</v>
      </c>
      <c r="S52" s="152">
        <f t="shared" si="14"/>
        <v>0</v>
      </c>
      <c r="T52" s="83"/>
    </row>
    <row r="53" spans="1:20">
      <c r="A53" s="102" t="s">
        <v>122</v>
      </c>
      <c r="B53" s="105">
        <f t="shared" ref="B53:B54" si="15">SQRT((H56^2+I56^2+J56^2+K56^2+L56^2+M56^2+N56^2+O56^2+P56^2+Q56^2+R56^2+S56^2)/H$28)</f>
        <v>0</v>
      </c>
      <c r="C53" s="87"/>
      <c r="D53" s="221"/>
      <c r="E53" s="221"/>
      <c r="F53" s="221"/>
      <c r="G53" s="102" t="s">
        <v>87</v>
      </c>
      <c r="H53" s="152">
        <f t="shared" ref="H53:S53" si="16">H106</f>
        <v>1.3333332977777789E-4</v>
      </c>
      <c r="I53" s="152">
        <f t="shared" si="16"/>
        <v>1.3333333688888898E-4</v>
      </c>
      <c r="J53" s="152">
        <f t="shared" si="16"/>
        <v>1.3333333688888898E-4</v>
      </c>
      <c r="K53" s="152">
        <f t="shared" si="16"/>
        <v>1.3333332977777789E-4</v>
      </c>
      <c r="L53" s="152">
        <f t="shared" si="16"/>
        <v>0</v>
      </c>
      <c r="M53" s="152">
        <f t="shared" si="16"/>
        <v>0</v>
      </c>
      <c r="N53" s="152">
        <f t="shared" si="16"/>
        <v>0</v>
      </c>
      <c r="O53" s="152">
        <f t="shared" si="16"/>
        <v>0</v>
      </c>
      <c r="P53" s="152">
        <f t="shared" si="16"/>
        <v>0</v>
      </c>
      <c r="Q53" s="152">
        <f t="shared" si="16"/>
        <v>0</v>
      </c>
      <c r="R53" s="152">
        <f t="shared" si="16"/>
        <v>0</v>
      </c>
      <c r="S53" s="152">
        <f t="shared" si="16"/>
        <v>0</v>
      </c>
    </row>
    <row r="54" spans="1:20">
      <c r="A54" s="102" t="s">
        <v>123</v>
      </c>
      <c r="B54" s="105">
        <f t="shared" si="15"/>
        <v>0</v>
      </c>
      <c r="C54" s="87"/>
      <c r="D54" s="215"/>
      <c r="E54" s="215"/>
      <c r="F54" s="215"/>
      <c r="G54" s="82" t="s">
        <v>333</v>
      </c>
    </row>
    <row r="55" spans="1:20">
      <c r="A55" s="102" t="s">
        <v>85</v>
      </c>
      <c r="B55" s="105">
        <f>SQRT((H59^2+I59^2+J59^2+K59^2+L59^2+M59^2+N59^2+O59^2+P59^2+Q59^2+R59^2+S59^2+B41^2)/H$28)</f>
        <v>0</v>
      </c>
      <c r="C55" s="87"/>
      <c r="G55" s="102" t="s">
        <v>121</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SQRT((H60^2+I60^2+J60^2+K60^2+L60^2+M60^2+N60^2+O60^2+P60^2+Q60^2+R60^2+S60^2+B42^2)/H$28)</f>
        <v>0</v>
      </c>
      <c r="C56" s="87"/>
      <c r="G56" s="102" t="s">
        <v>122</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SQRT((H61^2+I61^2+J61^2+K61^2+L61^2+M61^2+N61^2+O61^2+P61^2+Q61^2+R61^2+S61^2+B43^2)/H$28)</f>
        <v>0</v>
      </c>
      <c r="C57" s="87"/>
      <c r="G57" s="102" t="s">
        <v>123</v>
      </c>
      <c r="H57" s="215">
        <v>0</v>
      </c>
      <c r="I57" s="215">
        <v>0</v>
      </c>
      <c r="J57" s="215">
        <v>0</v>
      </c>
      <c r="K57" s="215">
        <v>0</v>
      </c>
      <c r="L57" s="215">
        <v>0</v>
      </c>
      <c r="M57" s="215">
        <v>0</v>
      </c>
      <c r="N57" s="215">
        <v>0</v>
      </c>
      <c r="O57" s="215">
        <v>0</v>
      </c>
      <c r="P57" s="215">
        <v>0</v>
      </c>
      <c r="Q57" s="215">
        <v>0</v>
      </c>
      <c r="R57" s="215">
        <v>0</v>
      </c>
      <c r="S57" s="215">
        <v>0</v>
      </c>
    </row>
    <row r="58" spans="1:20">
      <c r="B58" s="107"/>
      <c r="G58" s="82" t="s">
        <v>253</v>
      </c>
    </row>
    <row r="59" spans="1:20">
      <c r="G59" s="102" t="s">
        <v>85</v>
      </c>
      <c r="H59" s="152">
        <f t="shared" ref="H59:S59" si="17">H113</f>
        <v>0</v>
      </c>
      <c r="I59" s="152">
        <f t="shared" si="17"/>
        <v>0</v>
      </c>
      <c r="J59" s="152">
        <f t="shared" si="17"/>
        <v>0</v>
      </c>
      <c r="K59" s="152">
        <f t="shared" si="17"/>
        <v>0</v>
      </c>
      <c r="L59" s="152">
        <f t="shared" si="17"/>
        <v>0</v>
      </c>
      <c r="M59" s="152">
        <f t="shared" si="17"/>
        <v>0</v>
      </c>
      <c r="N59" s="152">
        <f t="shared" si="17"/>
        <v>0</v>
      </c>
      <c r="O59" s="152">
        <f t="shared" si="17"/>
        <v>0</v>
      </c>
      <c r="P59" s="152">
        <f t="shared" si="17"/>
        <v>0</v>
      </c>
      <c r="Q59" s="152">
        <f t="shared" si="17"/>
        <v>0</v>
      </c>
      <c r="R59" s="152">
        <f t="shared" si="17"/>
        <v>0</v>
      </c>
      <c r="S59" s="152">
        <f t="shared" si="17"/>
        <v>0</v>
      </c>
    </row>
    <row r="60" spans="1:20">
      <c r="G60" s="102" t="s">
        <v>86</v>
      </c>
      <c r="H60" s="152">
        <f t="shared" ref="H60:S60" si="18">H118</f>
        <v>0</v>
      </c>
      <c r="I60" s="152">
        <f t="shared" si="18"/>
        <v>0</v>
      </c>
      <c r="J60" s="152">
        <f t="shared" si="18"/>
        <v>0</v>
      </c>
      <c r="K60" s="152">
        <f t="shared" si="18"/>
        <v>0</v>
      </c>
      <c r="L60" s="152">
        <f t="shared" si="18"/>
        <v>0</v>
      </c>
      <c r="M60" s="152">
        <f t="shared" si="18"/>
        <v>0</v>
      </c>
      <c r="N60" s="152">
        <f t="shared" si="18"/>
        <v>0</v>
      </c>
      <c r="O60" s="152">
        <f t="shared" si="18"/>
        <v>0</v>
      </c>
      <c r="P60" s="152">
        <f t="shared" si="18"/>
        <v>0</v>
      </c>
      <c r="Q60" s="152">
        <f t="shared" si="18"/>
        <v>0</v>
      </c>
      <c r="R60" s="152">
        <f t="shared" si="18"/>
        <v>0</v>
      </c>
      <c r="S60" s="152">
        <f t="shared" si="18"/>
        <v>0</v>
      </c>
    </row>
    <row r="61" spans="1:20">
      <c r="G61" s="102" t="s">
        <v>87</v>
      </c>
      <c r="H61" s="152">
        <f t="shared" ref="H61:S61" si="19">H123</f>
        <v>0</v>
      </c>
      <c r="I61" s="152">
        <f t="shared" si="19"/>
        <v>0</v>
      </c>
      <c r="J61" s="152">
        <f t="shared" si="19"/>
        <v>0</v>
      </c>
      <c r="K61" s="152">
        <f t="shared" si="19"/>
        <v>0</v>
      </c>
      <c r="L61" s="152">
        <f t="shared" si="19"/>
        <v>0</v>
      </c>
      <c r="M61" s="152">
        <f t="shared" si="19"/>
        <v>0</v>
      </c>
      <c r="N61" s="152">
        <f t="shared" si="19"/>
        <v>0</v>
      </c>
      <c r="O61" s="152">
        <f t="shared" si="19"/>
        <v>0</v>
      </c>
      <c r="P61" s="152">
        <f t="shared" si="19"/>
        <v>0</v>
      </c>
      <c r="Q61" s="152">
        <f t="shared" si="19"/>
        <v>0</v>
      </c>
      <c r="R61" s="152">
        <f t="shared" si="19"/>
        <v>0</v>
      </c>
      <c r="S61" s="152">
        <f t="shared" si="19"/>
        <v>0</v>
      </c>
    </row>
    <row r="62" spans="1:20">
      <c r="G62" s="216" t="s">
        <v>298</v>
      </c>
    </row>
    <row r="63" spans="1:20" s="154" customFormat="1">
      <c r="G63" s="81"/>
      <c r="H63" s="81"/>
      <c r="I63" s="118"/>
      <c r="J63" s="118"/>
      <c r="K63" s="118"/>
      <c r="L63" s="118"/>
      <c r="M63" s="118"/>
      <c r="N63" s="118"/>
      <c r="O63" s="81"/>
    </row>
    <row r="64" spans="1:20" s="154" customFormat="1">
      <c r="G64" s="119"/>
      <c r="H64" s="326"/>
      <c r="I64" s="224"/>
      <c r="J64" s="224"/>
      <c r="K64" s="224"/>
      <c r="L64" s="224"/>
      <c r="M64" s="224"/>
      <c r="N64" s="224"/>
      <c r="O64" s="118"/>
    </row>
    <row r="65" spans="1:15" s="154" customFormat="1">
      <c r="G65" s="119"/>
      <c r="H65" s="326"/>
      <c r="I65" s="224"/>
      <c r="J65" s="224"/>
      <c r="K65" s="224"/>
      <c r="L65" s="224"/>
      <c r="M65" s="224"/>
      <c r="N65" s="224"/>
      <c r="O65" s="118"/>
    </row>
    <row r="66" spans="1:15" s="154" customFormat="1">
      <c r="G66" s="119"/>
      <c r="H66" s="326"/>
      <c r="I66" s="224"/>
      <c r="J66" s="224"/>
      <c r="K66" s="224"/>
      <c r="L66" s="224"/>
      <c r="M66" s="224"/>
      <c r="N66" s="224"/>
      <c r="O66" s="118"/>
    </row>
    <row r="67" spans="1:15" s="154" customFormat="1">
      <c r="G67" s="119"/>
      <c r="H67" s="326"/>
      <c r="I67" s="224"/>
      <c r="J67" s="224"/>
      <c r="K67" s="224"/>
      <c r="L67" s="224"/>
      <c r="M67" s="224"/>
      <c r="N67" s="224"/>
      <c r="O67" s="118"/>
    </row>
    <row r="68" spans="1:15" s="154" customFormat="1">
      <c r="G68" s="119"/>
      <c r="H68" s="326"/>
      <c r="I68" s="224"/>
      <c r="J68" s="224"/>
      <c r="K68" s="224"/>
      <c r="L68" s="224"/>
      <c r="M68" s="224"/>
      <c r="N68" s="224"/>
      <c r="O68" s="118"/>
    </row>
    <row r="69" spans="1:15" s="154" customFormat="1">
      <c r="G69" s="119"/>
      <c r="H69" s="326"/>
      <c r="I69" s="224"/>
      <c r="J69" s="224"/>
      <c r="K69" s="224"/>
      <c r="L69" s="224"/>
      <c r="M69" s="224"/>
      <c r="N69" s="224"/>
      <c r="O69" s="118"/>
    </row>
    <row r="70" spans="1:15" s="154" customFormat="1">
      <c r="G70" s="119"/>
      <c r="H70" s="195"/>
      <c r="I70" s="224"/>
      <c r="J70" s="224"/>
      <c r="K70" s="224"/>
      <c r="L70" s="224"/>
      <c r="M70" s="224"/>
      <c r="N70" s="224"/>
      <c r="O70" s="118"/>
    </row>
    <row r="71" spans="1:15" s="154" customFormat="1">
      <c r="G71" s="119"/>
      <c r="H71" s="195"/>
      <c r="I71" s="224"/>
      <c r="J71" s="224"/>
      <c r="K71" s="224"/>
      <c r="L71" s="224"/>
      <c r="M71" s="224"/>
      <c r="N71" s="224"/>
      <c r="O71" s="118"/>
    </row>
    <row r="72" spans="1:15" s="154" customFormat="1">
      <c r="G72" s="119"/>
      <c r="H72" s="195"/>
      <c r="I72" s="224"/>
      <c r="J72" s="224"/>
      <c r="K72" s="224"/>
      <c r="L72" s="224"/>
      <c r="M72" s="224"/>
      <c r="N72" s="224"/>
      <c r="O72" s="118"/>
    </row>
    <row r="73" spans="1:15" s="154" customFormat="1">
      <c r="G73" s="119"/>
      <c r="H73" s="195"/>
      <c r="I73" s="224"/>
      <c r="J73" s="224"/>
      <c r="K73" s="224"/>
      <c r="L73" s="224"/>
      <c r="M73" s="224"/>
      <c r="N73" s="224"/>
      <c r="O73" s="118"/>
    </row>
    <row r="74" spans="1:15" s="154" customFormat="1">
      <c r="G74" s="119"/>
      <c r="H74" s="195"/>
      <c r="I74" s="224"/>
      <c r="J74" s="224"/>
      <c r="K74" s="224"/>
      <c r="L74" s="224"/>
      <c r="M74" s="224"/>
      <c r="N74" s="224"/>
      <c r="O74" s="118"/>
    </row>
    <row r="75" spans="1:15" s="154" customFormat="1">
      <c r="G75" s="119"/>
      <c r="H75" s="195"/>
      <c r="I75" s="224"/>
      <c r="J75" s="224"/>
      <c r="K75" s="224"/>
      <c r="L75" s="224"/>
      <c r="M75" s="224"/>
      <c r="N75" s="224"/>
      <c r="O75" s="118"/>
    </row>
    <row r="76" spans="1:15" s="154" customFormat="1">
      <c r="G76" s="119"/>
      <c r="H76" s="195"/>
      <c r="I76" s="224"/>
      <c r="J76" s="224"/>
      <c r="K76" s="224"/>
      <c r="L76" s="224"/>
      <c r="M76" s="224"/>
      <c r="N76" s="224"/>
      <c r="O76" s="118"/>
    </row>
    <row r="77" spans="1:15" s="154" customFormat="1">
      <c r="G77" s="119"/>
      <c r="H77" s="195"/>
      <c r="I77" s="224"/>
      <c r="J77" s="224"/>
      <c r="K77" s="224"/>
      <c r="L77" s="224"/>
      <c r="M77" s="224"/>
      <c r="N77" s="224"/>
      <c r="O77" s="118"/>
    </row>
    <row r="78" spans="1:15" s="154" customFormat="1">
      <c r="G78" s="119"/>
      <c r="H78" s="195"/>
      <c r="I78" s="224"/>
      <c r="J78" s="224"/>
      <c r="K78" s="224"/>
      <c r="L78" s="224"/>
      <c r="M78" s="224"/>
      <c r="N78" s="224"/>
      <c r="O78" s="118"/>
    </row>
    <row r="79" spans="1:15" s="154" customFormat="1">
      <c r="G79" s="119"/>
      <c r="H79" s="195"/>
      <c r="I79" s="224"/>
      <c r="J79" s="224"/>
      <c r="K79" s="224"/>
      <c r="L79" s="224"/>
      <c r="M79" s="224"/>
      <c r="N79" s="224"/>
      <c r="O79" s="118"/>
    </row>
    <row r="80" spans="1:15" s="154" customFormat="1">
      <c r="A80" s="116"/>
      <c r="B80" s="211"/>
      <c r="G80" s="119"/>
      <c r="H80" s="195"/>
      <c r="I80" s="224"/>
      <c r="J80" s="224"/>
      <c r="K80" s="224"/>
      <c r="L80" s="224"/>
      <c r="M80" s="224"/>
      <c r="N80" s="224"/>
      <c r="O80" s="118"/>
    </row>
    <row r="81" spans="1:19" s="154" customFormat="1">
      <c r="A81" s="116"/>
      <c r="B81" s="211"/>
      <c r="G81" s="119"/>
      <c r="H81" s="195"/>
      <c r="I81" s="224"/>
      <c r="J81" s="224"/>
      <c r="K81" s="224"/>
      <c r="L81" s="224"/>
      <c r="M81" s="224"/>
      <c r="N81" s="224"/>
      <c r="O81" s="118"/>
    </row>
    <row r="82" spans="1:19" s="154" customFormat="1">
      <c r="A82" s="116"/>
      <c r="B82" s="211"/>
      <c r="G82" s="119"/>
      <c r="H82" s="195"/>
      <c r="I82" s="224"/>
      <c r="J82" s="224"/>
      <c r="K82" s="224"/>
      <c r="L82" s="224"/>
      <c r="M82" s="224"/>
      <c r="N82" s="224"/>
      <c r="O82" s="118"/>
    </row>
    <row r="83" spans="1:19" s="154" customFormat="1">
      <c r="A83" s="116"/>
      <c r="B83" s="211"/>
      <c r="G83" s="119"/>
      <c r="H83" s="195"/>
      <c r="I83" s="224"/>
      <c r="J83" s="224"/>
      <c r="K83" s="224"/>
      <c r="L83" s="224"/>
      <c r="M83" s="224"/>
      <c r="N83" s="224"/>
      <c r="O83" s="118"/>
    </row>
    <row r="84" spans="1:19" s="154" customFormat="1">
      <c r="A84" s="116"/>
      <c r="B84" s="211"/>
      <c r="G84" s="119"/>
      <c r="H84" s="195"/>
      <c r="I84" s="224"/>
      <c r="J84" s="224"/>
      <c r="K84" s="224"/>
      <c r="L84" s="224"/>
      <c r="M84" s="224"/>
      <c r="N84" s="224"/>
      <c r="O84" s="118"/>
    </row>
    <row r="85" spans="1:19" s="154" customFormat="1">
      <c r="A85" s="116"/>
      <c r="B85" s="211"/>
      <c r="G85" s="119"/>
      <c r="H85" s="195"/>
      <c r="I85" s="224"/>
      <c r="J85" s="224"/>
      <c r="K85" s="224"/>
      <c r="L85" s="224"/>
      <c r="M85" s="224"/>
      <c r="N85" s="224"/>
      <c r="O85" s="118"/>
    </row>
    <row r="86" spans="1:19" s="154" customFormat="1">
      <c r="A86" s="116"/>
      <c r="B86" s="211"/>
      <c r="G86" s="119"/>
      <c r="H86" s="195"/>
      <c r="I86" s="224"/>
      <c r="J86" s="224"/>
      <c r="K86" s="224"/>
      <c r="L86" s="224"/>
      <c r="M86" s="224"/>
      <c r="N86" s="224"/>
      <c r="O86" s="118"/>
    </row>
    <row r="87" spans="1:19" s="154" customFormat="1">
      <c r="A87" s="116"/>
      <c r="B87" s="211"/>
      <c r="G87" s="119"/>
      <c r="H87" s="195"/>
      <c r="I87" s="224"/>
      <c r="J87" s="224"/>
      <c r="K87" s="224"/>
      <c r="L87" s="224"/>
      <c r="M87" s="224"/>
      <c r="N87" s="224"/>
      <c r="O87" s="118"/>
    </row>
    <row r="88" spans="1:19" s="154" customFormat="1">
      <c r="A88" s="116"/>
      <c r="B88" s="211"/>
      <c r="G88" s="119"/>
      <c r="H88" s="195"/>
      <c r="I88" s="224"/>
      <c r="J88" s="224"/>
      <c r="K88" s="224"/>
      <c r="L88" s="224"/>
      <c r="M88" s="224"/>
      <c r="N88" s="224"/>
      <c r="O88" s="118"/>
    </row>
    <row r="89" spans="1:19" s="154" customFormat="1">
      <c r="A89" s="116"/>
      <c r="B89" s="211"/>
      <c r="G89" s="119"/>
      <c r="H89" s="195"/>
      <c r="I89" s="224"/>
      <c r="J89" s="224"/>
      <c r="K89" s="224"/>
      <c r="L89" s="224"/>
      <c r="M89" s="224"/>
      <c r="N89" s="224"/>
      <c r="O89" s="118"/>
    </row>
    <row r="90" spans="1:19" s="154" customFormat="1">
      <c r="A90" s="116"/>
      <c r="B90" s="211"/>
      <c r="G90" s="119"/>
      <c r="H90" s="195"/>
      <c r="I90" s="224"/>
      <c r="J90" s="224"/>
      <c r="K90" s="224"/>
      <c r="L90" s="224"/>
      <c r="M90" s="224"/>
      <c r="N90" s="224"/>
      <c r="O90" s="118"/>
    </row>
    <row r="91" spans="1:19" s="154" customFormat="1">
      <c r="A91" s="116"/>
      <c r="B91" s="211"/>
    </row>
    <row r="92" spans="1:19" s="154" customFormat="1">
      <c r="A92" s="116"/>
      <c r="B92" s="211"/>
    </row>
    <row r="93" spans="1:19">
      <c r="A93" s="116"/>
      <c r="B93" s="211"/>
      <c r="C93" s="154"/>
    </row>
    <row r="94" spans="1:19">
      <c r="A94" s="116"/>
      <c r="B94" s="211"/>
      <c r="C94" s="154"/>
      <c r="G94" s="225" t="s">
        <v>260</v>
      </c>
    </row>
    <row r="95" spans="1:19">
      <c r="A95" s="116"/>
      <c r="B95" s="211"/>
      <c r="C95" s="154"/>
      <c r="G95" s="213"/>
      <c r="H95" s="149" t="s">
        <v>261</v>
      </c>
    </row>
    <row r="96" spans="1:19">
      <c r="A96" s="116"/>
      <c r="B96" s="211"/>
      <c r="C96" s="154"/>
      <c r="G96" s="149" t="s">
        <v>259</v>
      </c>
      <c r="H96" s="81">
        <f t="shared" ref="H96:S96" si="20">H48/ABS(H33+0.000001)</f>
        <v>4.9999999950000005E-6</v>
      </c>
      <c r="I96" s="81">
        <f t="shared" si="20"/>
        <v>4.9999999950000005E-6</v>
      </c>
      <c r="J96" s="81">
        <f t="shared" si="20"/>
        <v>5.0000000050000003E-6</v>
      </c>
      <c r="K96" s="81">
        <f t="shared" si="20"/>
        <v>5.0000000050000003E-6</v>
      </c>
      <c r="L96" s="81">
        <f t="shared" si="20"/>
        <v>0</v>
      </c>
      <c r="M96" s="81">
        <f t="shared" si="20"/>
        <v>0</v>
      </c>
      <c r="N96" s="81">
        <f t="shared" si="20"/>
        <v>0</v>
      </c>
      <c r="O96" s="81">
        <f t="shared" si="20"/>
        <v>0</v>
      </c>
      <c r="P96" s="81">
        <f t="shared" si="20"/>
        <v>0</v>
      </c>
      <c r="Q96" s="81">
        <f t="shared" si="20"/>
        <v>0</v>
      </c>
      <c r="R96" s="81">
        <f t="shared" si="20"/>
        <v>0</v>
      </c>
      <c r="S96" s="81">
        <f t="shared" si="20"/>
        <v>0</v>
      </c>
    </row>
    <row r="97" spans="1:19">
      <c r="A97" s="116"/>
      <c r="B97" s="211"/>
      <c r="C97" s="154"/>
      <c r="G97" s="149" t="s">
        <v>259</v>
      </c>
      <c r="H97" s="81">
        <f t="shared" ref="H97:S97" si="21">H49/ABS(H32+0.000001)</f>
        <v>5000</v>
      </c>
      <c r="I97" s="81">
        <f t="shared" si="21"/>
        <v>5000</v>
      </c>
      <c r="J97" s="81">
        <f t="shared" si="21"/>
        <v>5000</v>
      </c>
      <c r="K97" s="81">
        <f t="shared" si="21"/>
        <v>5000</v>
      </c>
      <c r="L97" s="81">
        <f t="shared" si="21"/>
        <v>0</v>
      </c>
      <c r="M97" s="81">
        <f t="shared" si="21"/>
        <v>0</v>
      </c>
      <c r="N97" s="81">
        <f t="shared" si="21"/>
        <v>0</v>
      </c>
      <c r="O97" s="81">
        <f t="shared" si="21"/>
        <v>0</v>
      </c>
      <c r="P97" s="81">
        <f t="shared" si="21"/>
        <v>0</v>
      </c>
      <c r="Q97" s="81">
        <f t="shared" si="21"/>
        <v>0</v>
      </c>
      <c r="R97" s="81">
        <f t="shared" si="21"/>
        <v>0</v>
      </c>
      <c r="S97" s="81">
        <f t="shared" si="21"/>
        <v>0</v>
      </c>
    </row>
    <row r="98" spans="1:19">
      <c r="A98" s="116"/>
      <c r="B98" s="211"/>
      <c r="C98" s="154"/>
      <c r="G98" s="81" t="s">
        <v>257</v>
      </c>
      <c r="H98" s="226">
        <f>IF(MIN(H96,H97)&gt;1,0,MIN(H96,H97))</f>
        <v>4.9999999950000005E-6</v>
      </c>
      <c r="I98" s="226">
        <f t="shared" ref="I98:S98" si="22">IF(MIN(I96,I97)&gt;1,0,MIN(I96,I97))</f>
        <v>4.9999999950000005E-6</v>
      </c>
      <c r="J98" s="226">
        <f t="shared" si="22"/>
        <v>5.0000000050000003E-6</v>
      </c>
      <c r="K98" s="226">
        <f t="shared" si="22"/>
        <v>5.0000000050000003E-6</v>
      </c>
      <c r="L98" s="226">
        <f t="shared" si="22"/>
        <v>0</v>
      </c>
      <c r="M98" s="226">
        <f t="shared" si="22"/>
        <v>0</v>
      </c>
      <c r="N98" s="226">
        <f t="shared" si="22"/>
        <v>0</v>
      </c>
      <c r="O98" s="226">
        <f t="shared" si="22"/>
        <v>0</v>
      </c>
      <c r="P98" s="226">
        <f t="shared" si="22"/>
        <v>0</v>
      </c>
      <c r="Q98" s="226">
        <f t="shared" si="22"/>
        <v>0</v>
      </c>
      <c r="R98" s="226">
        <f t="shared" si="22"/>
        <v>0</v>
      </c>
      <c r="S98" s="226">
        <f t="shared" si="22"/>
        <v>0</v>
      </c>
    </row>
    <row r="99" spans="1:19">
      <c r="A99" s="116"/>
      <c r="B99" s="211"/>
      <c r="C99" s="154"/>
      <c r="H99" s="149" t="s">
        <v>262</v>
      </c>
      <c r="I99" s="149"/>
      <c r="J99" s="149"/>
      <c r="K99" s="149"/>
      <c r="L99" s="149"/>
      <c r="M99" s="149"/>
      <c r="N99" s="149"/>
      <c r="O99" s="149"/>
      <c r="P99" s="149"/>
      <c r="Q99" s="149"/>
      <c r="R99" s="149"/>
      <c r="S99" s="149"/>
    </row>
    <row r="100" spans="1:19" s="154" customFormat="1">
      <c r="A100" s="116"/>
      <c r="B100" s="211"/>
      <c r="G100" s="115" t="s">
        <v>259</v>
      </c>
      <c r="H100" s="154">
        <f t="shared" ref="H100:S100" si="23">H49/ABS(H31+0.000001)</f>
        <v>1.3333332977777789E-4</v>
      </c>
      <c r="I100" s="154">
        <f t="shared" si="23"/>
        <v>1.3333333688888898E-4</v>
      </c>
      <c r="J100" s="154">
        <f t="shared" si="23"/>
        <v>1.3333333688888898E-4</v>
      </c>
      <c r="K100" s="154">
        <f t="shared" si="23"/>
        <v>1.3333332977777789E-4</v>
      </c>
      <c r="L100" s="154">
        <f t="shared" si="23"/>
        <v>0</v>
      </c>
      <c r="M100" s="154">
        <f t="shared" si="23"/>
        <v>0</v>
      </c>
      <c r="N100" s="154">
        <f t="shared" si="23"/>
        <v>0</v>
      </c>
      <c r="O100" s="154">
        <f t="shared" si="23"/>
        <v>0</v>
      </c>
      <c r="P100" s="154">
        <f t="shared" si="23"/>
        <v>0</v>
      </c>
      <c r="Q100" s="154">
        <f t="shared" si="23"/>
        <v>0</v>
      </c>
      <c r="R100" s="154">
        <f t="shared" si="23"/>
        <v>0</v>
      </c>
      <c r="S100" s="154">
        <f t="shared" si="23"/>
        <v>0</v>
      </c>
    </row>
    <row r="101" spans="1:19" s="154" customFormat="1">
      <c r="A101" s="116"/>
      <c r="B101" s="211"/>
      <c r="G101" s="115" t="s">
        <v>259</v>
      </c>
      <c r="H101" s="227">
        <f t="shared" ref="H101:S101" si="24">H47/ABS(H33+0.000001)</f>
        <v>4.9999999950000005E-6</v>
      </c>
      <c r="I101" s="227">
        <f t="shared" si="24"/>
        <v>4.9999999950000005E-6</v>
      </c>
      <c r="J101" s="227">
        <f t="shared" si="24"/>
        <v>5.0000000050000003E-6</v>
      </c>
      <c r="K101" s="227">
        <f t="shared" si="24"/>
        <v>5.0000000050000003E-6</v>
      </c>
      <c r="L101" s="227">
        <f t="shared" si="24"/>
        <v>0</v>
      </c>
      <c r="M101" s="227">
        <f t="shared" si="24"/>
        <v>0</v>
      </c>
      <c r="N101" s="227">
        <f t="shared" si="24"/>
        <v>0</v>
      </c>
      <c r="O101" s="227">
        <f t="shared" si="24"/>
        <v>0</v>
      </c>
      <c r="P101" s="227">
        <f t="shared" si="24"/>
        <v>0</v>
      </c>
      <c r="Q101" s="227">
        <f t="shared" si="24"/>
        <v>0</v>
      </c>
      <c r="R101" s="227">
        <f t="shared" si="24"/>
        <v>0</v>
      </c>
      <c r="S101" s="227">
        <f t="shared" si="24"/>
        <v>0</v>
      </c>
    </row>
    <row r="102" spans="1:19">
      <c r="A102" s="116"/>
      <c r="B102" s="211"/>
      <c r="C102" s="154"/>
      <c r="G102" s="81" t="s">
        <v>257</v>
      </c>
      <c r="H102" s="226">
        <f>IF(MIN(H100,H101)&gt;1,0,MIN(H100,H101))</f>
        <v>4.9999999950000005E-6</v>
      </c>
      <c r="I102" s="226">
        <f t="shared" ref="I102:S102" si="25">IF(MIN(I100,I101)&gt;1,0,MIN(I100,I101))</f>
        <v>4.9999999950000005E-6</v>
      </c>
      <c r="J102" s="226">
        <f t="shared" si="25"/>
        <v>5.0000000050000003E-6</v>
      </c>
      <c r="K102" s="226">
        <f t="shared" si="25"/>
        <v>5.0000000050000003E-6</v>
      </c>
      <c r="L102" s="226">
        <f t="shared" si="25"/>
        <v>0</v>
      </c>
      <c r="M102" s="226">
        <f t="shared" si="25"/>
        <v>0</v>
      </c>
      <c r="N102" s="226">
        <f t="shared" si="25"/>
        <v>0</v>
      </c>
      <c r="O102" s="226">
        <f t="shared" si="25"/>
        <v>0</v>
      </c>
      <c r="P102" s="226">
        <f t="shared" si="25"/>
        <v>0</v>
      </c>
      <c r="Q102" s="226">
        <f t="shared" si="25"/>
        <v>0</v>
      </c>
      <c r="R102" s="226">
        <f t="shared" si="25"/>
        <v>0</v>
      </c>
      <c r="S102" s="226">
        <f t="shared" si="25"/>
        <v>0</v>
      </c>
    </row>
    <row r="103" spans="1:19">
      <c r="A103" s="116"/>
      <c r="B103" s="211"/>
      <c r="C103" s="154"/>
      <c r="H103" s="81" t="s">
        <v>263</v>
      </c>
    </row>
    <row r="104" spans="1:19">
      <c r="A104" s="116"/>
      <c r="B104" s="211"/>
      <c r="C104" s="154"/>
      <c r="G104" s="149" t="s">
        <v>259</v>
      </c>
      <c r="H104" s="81">
        <f t="shared" ref="H104:S104" si="26">H48/ABS(H31+0.000001)</f>
        <v>1.3333332977777789E-4</v>
      </c>
      <c r="I104" s="81">
        <f t="shared" si="26"/>
        <v>1.3333333688888898E-4</v>
      </c>
      <c r="J104" s="81">
        <f t="shared" si="26"/>
        <v>1.3333333688888898E-4</v>
      </c>
      <c r="K104" s="81">
        <f t="shared" si="26"/>
        <v>1.3333332977777789E-4</v>
      </c>
      <c r="L104" s="81">
        <f t="shared" si="26"/>
        <v>0</v>
      </c>
      <c r="M104" s="81">
        <f t="shared" si="26"/>
        <v>0</v>
      </c>
      <c r="N104" s="81">
        <f t="shared" si="26"/>
        <v>0</v>
      </c>
      <c r="O104" s="81">
        <f t="shared" si="26"/>
        <v>0</v>
      </c>
      <c r="P104" s="81">
        <f t="shared" si="26"/>
        <v>0</v>
      </c>
      <c r="Q104" s="81">
        <f t="shared" si="26"/>
        <v>0</v>
      </c>
      <c r="R104" s="81">
        <f t="shared" si="26"/>
        <v>0</v>
      </c>
      <c r="S104" s="81">
        <f t="shared" si="26"/>
        <v>0</v>
      </c>
    </row>
    <row r="105" spans="1:19">
      <c r="A105" s="116"/>
      <c r="B105" s="211"/>
      <c r="C105" s="154"/>
      <c r="G105" s="149" t="s">
        <v>259</v>
      </c>
      <c r="H105" s="81">
        <f t="shared" ref="H105:S105" si="27">H47/ABS(H32+0.000001)</f>
        <v>5000</v>
      </c>
      <c r="I105" s="81">
        <f t="shared" si="27"/>
        <v>5000</v>
      </c>
      <c r="J105" s="81">
        <f t="shared" si="27"/>
        <v>5000</v>
      </c>
      <c r="K105" s="81">
        <f t="shared" si="27"/>
        <v>5000</v>
      </c>
      <c r="L105" s="81">
        <f t="shared" si="27"/>
        <v>0</v>
      </c>
      <c r="M105" s="81">
        <f t="shared" si="27"/>
        <v>0</v>
      </c>
      <c r="N105" s="81">
        <f t="shared" si="27"/>
        <v>0</v>
      </c>
      <c r="O105" s="81">
        <f t="shared" si="27"/>
        <v>0</v>
      </c>
      <c r="P105" s="81">
        <f t="shared" si="27"/>
        <v>0</v>
      </c>
      <c r="Q105" s="81">
        <f t="shared" si="27"/>
        <v>0</v>
      </c>
      <c r="R105" s="81">
        <f t="shared" si="27"/>
        <v>0</v>
      </c>
      <c r="S105" s="81">
        <f t="shared" si="27"/>
        <v>0</v>
      </c>
    </row>
    <row r="106" spans="1:19">
      <c r="A106" s="116"/>
      <c r="B106" s="211"/>
      <c r="C106" s="154"/>
      <c r="G106" s="81" t="s">
        <v>257</v>
      </c>
      <c r="H106" s="226">
        <f>IF(MIN(H104,H105)&gt;1,0,MIN(H104,H105))</f>
        <v>1.3333332977777789E-4</v>
      </c>
      <c r="I106" s="226">
        <f t="shared" ref="I106:S106" si="28">IF(MIN(I104,I105)&gt;1,0,MIN(I104,I105))</f>
        <v>1.3333333688888898E-4</v>
      </c>
      <c r="J106" s="226">
        <f t="shared" si="28"/>
        <v>1.3333333688888898E-4</v>
      </c>
      <c r="K106" s="226">
        <f t="shared" si="28"/>
        <v>1.3333332977777789E-4</v>
      </c>
      <c r="L106" s="226">
        <f t="shared" si="28"/>
        <v>0</v>
      </c>
      <c r="M106" s="226">
        <f t="shared" si="28"/>
        <v>0</v>
      </c>
      <c r="N106" s="226">
        <f t="shared" si="28"/>
        <v>0</v>
      </c>
      <c r="O106" s="226">
        <f t="shared" si="28"/>
        <v>0</v>
      </c>
      <c r="P106" s="226">
        <f t="shared" si="28"/>
        <v>0</v>
      </c>
      <c r="Q106" s="226">
        <f t="shared" si="28"/>
        <v>0</v>
      </c>
      <c r="R106" s="226">
        <f t="shared" si="28"/>
        <v>0</v>
      </c>
      <c r="S106" s="226">
        <f t="shared" si="28"/>
        <v>0</v>
      </c>
    </row>
    <row r="107" spans="1:19">
      <c r="A107" s="116"/>
      <c r="B107" s="211"/>
      <c r="C107" s="154"/>
    </row>
    <row r="108" spans="1:19">
      <c r="A108" s="116"/>
      <c r="B108" s="211"/>
      <c r="C108" s="154"/>
      <c r="G108" s="225" t="s">
        <v>308</v>
      </c>
      <c r="H108" s="225"/>
      <c r="I108" s="225"/>
      <c r="J108" s="225"/>
      <c r="K108" s="225"/>
      <c r="L108" s="225"/>
      <c r="M108" s="225"/>
      <c r="N108" s="225"/>
      <c r="O108" s="225"/>
      <c r="P108" s="225"/>
    </row>
    <row r="109" spans="1:19">
      <c r="A109" s="116"/>
      <c r="B109" s="211"/>
      <c r="C109" s="154"/>
      <c r="H109" s="102" t="s">
        <v>254</v>
      </c>
      <c r="I109" s="102"/>
      <c r="J109" s="102"/>
      <c r="K109" s="102"/>
      <c r="L109" s="102"/>
      <c r="M109" s="102"/>
      <c r="N109" s="102"/>
      <c r="O109" s="102"/>
      <c r="P109" s="102"/>
      <c r="Q109" s="102"/>
      <c r="R109" s="102"/>
      <c r="S109" s="102"/>
    </row>
    <row r="110" spans="1:19">
      <c r="G110" s="149" t="s">
        <v>259</v>
      </c>
      <c r="H110" s="226">
        <f t="shared" ref="H110:S110" si="29">H56/(H33+0.000001)</f>
        <v>0</v>
      </c>
      <c r="I110" s="226">
        <f t="shared" si="29"/>
        <v>0</v>
      </c>
      <c r="J110" s="226">
        <f t="shared" si="29"/>
        <v>0</v>
      </c>
      <c r="K110" s="226">
        <f t="shared" si="29"/>
        <v>0</v>
      </c>
      <c r="L110" s="226">
        <f t="shared" si="29"/>
        <v>0</v>
      </c>
      <c r="M110" s="226">
        <f t="shared" si="29"/>
        <v>0</v>
      </c>
      <c r="N110" s="226">
        <f t="shared" si="29"/>
        <v>0</v>
      </c>
      <c r="O110" s="226">
        <f t="shared" si="29"/>
        <v>0</v>
      </c>
      <c r="P110" s="226">
        <f t="shared" si="29"/>
        <v>0</v>
      </c>
      <c r="Q110" s="226">
        <f t="shared" si="29"/>
        <v>0</v>
      </c>
      <c r="R110" s="226">
        <f t="shared" si="29"/>
        <v>0</v>
      </c>
      <c r="S110" s="226">
        <f t="shared" si="29"/>
        <v>0</v>
      </c>
    </row>
    <row r="111" spans="1:19">
      <c r="G111" s="149" t="s">
        <v>259</v>
      </c>
      <c r="H111" s="228">
        <f t="shared" ref="H111:S111" si="30">H57/(H32+0.000001)</f>
        <v>0</v>
      </c>
      <c r="I111" s="228">
        <f t="shared" si="30"/>
        <v>0</v>
      </c>
      <c r="J111" s="228">
        <f t="shared" si="30"/>
        <v>0</v>
      </c>
      <c r="K111" s="228">
        <f t="shared" si="30"/>
        <v>0</v>
      </c>
      <c r="L111" s="228">
        <f t="shared" si="30"/>
        <v>0</v>
      </c>
      <c r="M111" s="228">
        <f t="shared" si="30"/>
        <v>0</v>
      </c>
      <c r="N111" s="228">
        <f t="shared" si="30"/>
        <v>0</v>
      </c>
      <c r="O111" s="228">
        <f t="shared" si="30"/>
        <v>0</v>
      </c>
      <c r="P111" s="228">
        <f t="shared" si="30"/>
        <v>0</v>
      </c>
      <c r="Q111" s="228">
        <f t="shared" si="30"/>
        <v>0</v>
      </c>
      <c r="R111" s="228">
        <f t="shared" si="30"/>
        <v>0</v>
      </c>
      <c r="S111" s="228">
        <f t="shared" si="30"/>
        <v>0</v>
      </c>
    </row>
    <row r="112" spans="1:19">
      <c r="G112" s="81" t="s">
        <v>258</v>
      </c>
      <c r="H112" s="144">
        <f>SIGN(H110+0.000000000001)*SIGN(H111+0.000000000001)</f>
        <v>1</v>
      </c>
      <c r="I112" s="144">
        <f t="shared" ref="I112:S112" si="31">SIGN(I110+0.000000000001)*SIGN(I111+0.000000000001)</f>
        <v>1</v>
      </c>
      <c r="J112" s="144">
        <f t="shared" si="31"/>
        <v>1</v>
      </c>
      <c r="K112" s="144">
        <f t="shared" si="31"/>
        <v>1</v>
      </c>
      <c r="L112" s="144">
        <f t="shared" si="31"/>
        <v>1</v>
      </c>
      <c r="M112" s="144">
        <f t="shared" si="31"/>
        <v>1</v>
      </c>
      <c r="N112" s="144">
        <f t="shared" si="31"/>
        <v>1</v>
      </c>
      <c r="O112" s="144">
        <f t="shared" si="31"/>
        <v>1</v>
      </c>
      <c r="P112" s="144">
        <f t="shared" si="31"/>
        <v>1</v>
      </c>
      <c r="Q112" s="144">
        <f t="shared" si="31"/>
        <v>1</v>
      </c>
      <c r="R112" s="144">
        <f t="shared" si="31"/>
        <v>1</v>
      </c>
      <c r="S112" s="144">
        <f t="shared" si="31"/>
        <v>1</v>
      </c>
    </row>
    <row r="113" spans="1:19">
      <c r="G113" s="81" t="s">
        <v>257</v>
      </c>
      <c r="H113" s="226">
        <f>IF(H112*MIN(ABS(H110),ABS(H111))&gt;1,0,H112*MIN(ABS(H110),ABS(H111)))</f>
        <v>0</v>
      </c>
      <c r="I113" s="226">
        <f t="shared" ref="I113:S113" si="32">IF(I112*MIN(ABS(I110),ABS(I111))&gt;1,0,I112*MIN(ABS(I110),ABS(I111)))</f>
        <v>0</v>
      </c>
      <c r="J113" s="226">
        <f t="shared" si="32"/>
        <v>0</v>
      </c>
      <c r="K113" s="226">
        <f t="shared" si="32"/>
        <v>0</v>
      </c>
      <c r="L113" s="226">
        <f t="shared" si="32"/>
        <v>0</v>
      </c>
      <c r="M113" s="226">
        <f t="shared" si="32"/>
        <v>0</v>
      </c>
      <c r="N113" s="226">
        <f t="shared" si="32"/>
        <v>0</v>
      </c>
      <c r="O113" s="226">
        <f t="shared" si="32"/>
        <v>0</v>
      </c>
      <c r="P113" s="226">
        <f t="shared" si="32"/>
        <v>0</v>
      </c>
      <c r="Q113" s="226">
        <f t="shared" si="32"/>
        <v>0</v>
      </c>
      <c r="R113" s="226">
        <f t="shared" si="32"/>
        <v>0</v>
      </c>
      <c r="S113" s="226">
        <f t="shared" si="32"/>
        <v>0</v>
      </c>
    </row>
    <row r="114" spans="1:19">
      <c r="H114" s="102" t="s">
        <v>255</v>
      </c>
      <c r="I114" s="102"/>
      <c r="J114" s="102"/>
      <c r="K114" s="102"/>
      <c r="L114" s="102"/>
      <c r="M114" s="102"/>
      <c r="N114" s="102"/>
      <c r="O114" s="102"/>
      <c r="P114" s="102"/>
      <c r="Q114" s="102"/>
      <c r="R114" s="102"/>
      <c r="S114" s="102"/>
    </row>
    <row r="115" spans="1:19" s="154" customFormat="1">
      <c r="A115" s="81"/>
      <c r="B115" s="81"/>
      <c r="C115" s="81"/>
      <c r="G115" s="115" t="s">
        <v>259</v>
      </c>
      <c r="H115" s="154">
        <f t="shared" ref="H115:S115" si="33">-H57/(H31+0.000001)</f>
        <v>0</v>
      </c>
      <c r="I115" s="154">
        <f t="shared" si="33"/>
        <v>0</v>
      </c>
      <c r="J115" s="154">
        <f t="shared" si="33"/>
        <v>0</v>
      </c>
      <c r="K115" s="154">
        <f t="shared" si="33"/>
        <v>0</v>
      </c>
      <c r="L115" s="154">
        <f t="shared" si="33"/>
        <v>0</v>
      </c>
      <c r="M115" s="154">
        <f t="shared" si="33"/>
        <v>0</v>
      </c>
      <c r="N115" s="154">
        <f t="shared" si="33"/>
        <v>0</v>
      </c>
      <c r="O115" s="154">
        <f t="shared" si="33"/>
        <v>0</v>
      </c>
      <c r="P115" s="154">
        <f t="shared" si="33"/>
        <v>0</v>
      </c>
      <c r="Q115" s="154">
        <f t="shared" si="33"/>
        <v>0</v>
      </c>
      <c r="R115" s="154">
        <f t="shared" si="33"/>
        <v>0</v>
      </c>
      <c r="S115" s="154">
        <f t="shared" si="33"/>
        <v>0</v>
      </c>
    </row>
    <row r="116" spans="1:19" s="154" customFormat="1">
      <c r="A116" s="81"/>
      <c r="B116" s="81"/>
      <c r="C116" s="81"/>
      <c r="G116" s="115" t="s">
        <v>259</v>
      </c>
      <c r="H116" s="154">
        <f t="shared" ref="H116:S116" si="34">H55/(H33+0.000001)</f>
        <v>0</v>
      </c>
      <c r="I116" s="154">
        <f t="shared" si="34"/>
        <v>0</v>
      </c>
      <c r="J116" s="154">
        <f t="shared" si="34"/>
        <v>0</v>
      </c>
      <c r="K116" s="154">
        <f t="shared" si="34"/>
        <v>0</v>
      </c>
      <c r="L116" s="154">
        <f t="shared" si="34"/>
        <v>0</v>
      </c>
      <c r="M116" s="154">
        <f t="shared" si="34"/>
        <v>0</v>
      </c>
      <c r="N116" s="154">
        <f t="shared" si="34"/>
        <v>0</v>
      </c>
      <c r="O116" s="154">
        <f t="shared" si="34"/>
        <v>0</v>
      </c>
      <c r="P116" s="154">
        <f t="shared" si="34"/>
        <v>0</v>
      </c>
      <c r="Q116" s="154">
        <f t="shared" si="34"/>
        <v>0</v>
      </c>
      <c r="R116" s="154">
        <f t="shared" si="34"/>
        <v>0</v>
      </c>
      <c r="S116" s="154">
        <f t="shared" si="34"/>
        <v>0</v>
      </c>
    </row>
    <row r="117" spans="1:19" s="154" customFormat="1">
      <c r="G117" s="154" t="s">
        <v>258</v>
      </c>
      <c r="H117" s="229">
        <f>SIGN(H115+0.000000000001)*SIGN(H116+0.000000000001)</f>
        <v>1</v>
      </c>
      <c r="I117" s="229">
        <f t="shared" ref="I117:S117" si="35">SIGN(I115+0.000000000001)*SIGN(I116+0.000000000001)</f>
        <v>1</v>
      </c>
      <c r="J117" s="229">
        <f t="shared" si="35"/>
        <v>1</v>
      </c>
      <c r="K117" s="229">
        <f t="shared" si="35"/>
        <v>1</v>
      </c>
      <c r="L117" s="229">
        <f t="shared" si="35"/>
        <v>1</v>
      </c>
      <c r="M117" s="229">
        <f t="shared" si="35"/>
        <v>1</v>
      </c>
      <c r="N117" s="229">
        <f t="shared" si="35"/>
        <v>1</v>
      </c>
      <c r="O117" s="229">
        <f t="shared" si="35"/>
        <v>1</v>
      </c>
      <c r="P117" s="229">
        <f t="shared" si="35"/>
        <v>1</v>
      </c>
      <c r="Q117" s="229">
        <f t="shared" si="35"/>
        <v>1</v>
      </c>
      <c r="R117" s="229">
        <f t="shared" si="35"/>
        <v>1</v>
      </c>
      <c r="S117" s="229">
        <f t="shared" si="35"/>
        <v>1</v>
      </c>
    </row>
    <row r="118" spans="1:19" s="154" customFormat="1">
      <c r="G118" s="154" t="s">
        <v>257</v>
      </c>
      <c r="H118" s="230">
        <f>IF(H117*MIN(ABS(H115),ABS(H116))&gt;1,0,H117*MIN(ABS(H115),ABS(H116)))</f>
        <v>0</v>
      </c>
      <c r="I118" s="230">
        <f t="shared" ref="I118:S118" si="36">IF(I117*MIN(ABS(I115),ABS(I116))&gt;1,0,I117*MIN(ABS(I115),ABS(I116)))</f>
        <v>0</v>
      </c>
      <c r="J118" s="230">
        <f t="shared" si="36"/>
        <v>0</v>
      </c>
      <c r="K118" s="230">
        <f t="shared" si="36"/>
        <v>0</v>
      </c>
      <c r="L118" s="230">
        <f t="shared" si="36"/>
        <v>0</v>
      </c>
      <c r="M118" s="230">
        <f t="shared" si="36"/>
        <v>0</v>
      </c>
      <c r="N118" s="230">
        <f t="shared" si="36"/>
        <v>0</v>
      </c>
      <c r="O118" s="230">
        <f t="shared" si="36"/>
        <v>0</v>
      </c>
      <c r="P118" s="230">
        <f t="shared" si="36"/>
        <v>0</v>
      </c>
      <c r="Q118" s="230">
        <f t="shared" si="36"/>
        <v>0</v>
      </c>
      <c r="R118" s="230">
        <f t="shared" si="36"/>
        <v>0</v>
      </c>
      <c r="S118" s="230">
        <f t="shared" si="36"/>
        <v>0</v>
      </c>
    </row>
    <row r="119" spans="1:19">
      <c r="H119" s="102" t="s">
        <v>256</v>
      </c>
      <c r="I119" s="102"/>
      <c r="J119" s="102"/>
      <c r="K119" s="102"/>
      <c r="L119" s="102"/>
      <c r="M119" s="102"/>
      <c r="N119" s="102"/>
      <c r="O119" s="102"/>
      <c r="P119" s="102"/>
      <c r="Q119" s="102"/>
      <c r="R119" s="102"/>
      <c r="S119" s="102"/>
    </row>
    <row r="120" spans="1:19">
      <c r="B120" s="255"/>
      <c r="G120" s="149" t="s">
        <v>259</v>
      </c>
      <c r="H120" s="226">
        <f t="shared" ref="H120:S120" si="37">H56/(H31+0.000001)</f>
        <v>0</v>
      </c>
      <c r="I120" s="226">
        <f t="shared" si="37"/>
        <v>0</v>
      </c>
      <c r="J120" s="226">
        <f t="shared" si="37"/>
        <v>0</v>
      </c>
      <c r="K120" s="226">
        <f t="shared" si="37"/>
        <v>0</v>
      </c>
      <c r="L120" s="226">
        <f t="shared" si="37"/>
        <v>0</v>
      </c>
      <c r="M120" s="226">
        <f t="shared" si="37"/>
        <v>0</v>
      </c>
      <c r="N120" s="226">
        <f t="shared" si="37"/>
        <v>0</v>
      </c>
      <c r="O120" s="226">
        <f t="shared" si="37"/>
        <v>0</v>
      </c>
      <c r="P120" s="226">
        <f t="shared" si="37"/>
        <v>0</v>
      </c>
      <c r="Q120" s="226">
        <f t="shared" si="37"/>
        <v>0</v>
      </c>
      <c r="R120" s="226">
        <f t="shared" si="37"/>
        <v>0</v>
      </c>
      <c r="S120" s="226">
        <f t="shared" si="37"/>
        <v>0</v>
      </c>
    </row>
    <row r="121" spans="1:19">
      <c r="G121" s="149" t="s">
        <v>259</v>
      </c>
      <c r="H121" s="81">
        <f t="shared" ref="H121:S121" si="38">H55/(H32+0.000001)</f>
        <v>0</v>
      </c>
      <c r="I121" s="81">
        <f t="shared" si="38"/>
        <v>0</v>
      </c>
      <c r="J121" s="81">
        <f t="shared" si="38"/>
        <v>0</v>
      </c>
      <c r="K121" s="81">
        <f t="shared" si="38"/>
        <v>0</v>
      </c>
      <c r="L121" s="81">
        <f t="shared" si="38"/>
        <v>0</v>
      </c>
      <c r="M121" s="81">
        <f t="shared" si="38"/>
        <v>0</v>
      </c>
      <c r="N121" s="81">
        <f t="shared" si="38"/>
        <v>0</v>
      </c>
      <c r="O121" s="81">
        <f t="shared" si="38"/>
        <v>0</v>
      </c>
      <c r="P121" s="81">
        <f t="shared" si="38"/>
        <v>0</v>
      </c>
      <c r="Q121" s="81">
        <f t="shared" si="38"/>
        <v>0</v>
      </c>
      <c r="R121" s="81">
        <f t="shared" si="38"/>
        <v>0</v>
      </c>
      <c r="S121" s="81">
        <f t="shared" si="38"/>
        <v>0</v>
      </c>
    </row>
    <row r="122" spans="1:19">
      <c r="G122" s="81" t="s">
        <v>258</v>
      </c>
      <c r="H122" s="144">
        <f>SIGN(H120+0.000000000001)*SIGN(H121+0.000000000001)</f>
        <v>1</v>
      </c>
      <c r="I122" s="144">
        <f t="shared" ref="I122:S122" si="39">SIGN(I120+0.000000000001)*SIGN(I121+0.000000000001)</f>
        <v>1</v>
      </c>
      <c r="J122" s="144">
        <f t="shared" si="39"/>
        <v>1</v>
      </c>
      <c r="K122" s="144">
        <f t="shared" si="39"/>
        <v>1</v>
      </c>
      <c r="L122" s="144">
        <f t="shared" si="39"/>
        <v>1</v>
      </c>
      <c r="M122" s="144">
        <f t="shared" si="39"/>
        <v>1</v>
      </c>
      <c r="N122" s="144">
        <f t="shared" si="39"/>
        <v>1</v>
      </c>
      <c r="O122" s="144">
        <f t="shared" si="39"/>
        <v>1</v>
      </c>
      <c r="P122" s="144">
        <f t="shared" si="39"/>
        <v>1</v>
      </c>
      <c r="Q122" s="144">
        <f t="shared" si="39"/>
        <v>1</v>
      </c>
      <c r="R122" s="144">
        <f t="shared" si="39"/>
        <v>1</v>
      </c>
      <c r="S122" s="144">
        <f t="shared" si="39"/>
        <v>1</v>
      </c>
    </row>
    <row r="123" spans="1:19">
      <c r="G123" s="81" t="s">
        <v>257</v>
      </c>
      <c r="H123" s="226">
        <f>IF(H122*MIN(ABS(H120),ABS(H121))&gt;1,0,H122*MIN(ABS(H120),ABS(H121)))</f>
        <v>0</v>
      </c>
      <c r="I123" s="226">
        <f t="shared" ref="I123:S123" si="40">IF(I122*MIN(ABS(I120),ABS(I121))&gt;1,0,I122*MIN(ABS(I120),ABS(I121)))</f>
        <v>0</v>
      </c>
      <c r="J123" s="226">
        <f t="shared" si="40"/>
        <v>0</v>
      </c>
      <c r="K123" s="226">
        <f t="shared" si="40"/>
        <v>0</v>
      </c>
      <c r="L123" s="226">
        <f t="shared" si="40"/>
        <v>0</v>
      </c>
      <c r="M123" s="226">
        <f t="shared" si="40"/>
        <v>0</v>
      </c>
      <c r="N123" s="226">
        <f t="shared" si="40"/>
        <v>0</v>
      </c>
      <c r="O123" s="226">
        <f t="shared" si="40"/>
        <v>0</v>
      </c>
      <c r="P123" s="226">
        <f t="shared" si="40"/>
        <v>0</v>
      </c>
      <c r="Q123" s="226">
        <f t="shared" si="40"/>
        <v>0</v>
      </c>
      <c r="R123" s="226">
        <f t="shared" si="40"/>
        <v>0</v>
      </c>
      <c r="S123" s="226">
        <f t="shared" si="40"/>
        <v>0</v>
      </c>
    </row>
    <row r="132" spans="1:3">
      <c r="A132" s="154"/>
      <c r="B132" s="154"/>
      <c r="C132" s="154"/>
    </row>
    <row r="133" spans="1:3">
      <c r="A133" s="154"/>
      <c r="B133" s="154"/>
      <c r="C133" s="154"/>
    </row>
    <row r="134" spans="1:3">
      <c r="A134" s="154"/>
      <c r="B134" s="154"/>
      <c r="C134" s="154"/>
    </row>
    <row r="135" spans="1:3">
      <c r="A135" s="154"/>
      <c r="B135" s="154"/>
      <c r="C135" s="154"/>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topLeftCell="A2" zoomScale="75" zoomScaleNormal="75" zoomScalePageLayoutView="75" workbookViewId="0">
      <selection activeCell="D19" sqref="D19"/>
    </sheetView>
  </sheetViews>
  <sheetFormatPr baseColWidth="10" defaultColWidth="11" defaultRowHeight="15" x14ac:dyDescent="0"/>
  <cols>
    <col min="1" max="1" width="45.33203125" style="81" customWidth="1"/>
    <col min="2" max="2" width="22.6640625" style="81" customWidth="1"/>
    <col min="3" max="3" width="38.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Loads'!A78</f>
        <v>CS 3</v>
      </c>
      <c r="B1" s="207" t="str">
        <f>'CSs and Loads'!A88</f>
        <v>Z-Axis</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82" t="s">
        <v>321</v>
      </c>
      <c r="B4" s="118" t="s">
        <v>345</v>
      </c>
      <c r="C4" s="82" t="s">
        <v>376</v>
      </c>
      <c r="D4" s="169"/>
      <c r="E4" s="335" t="s">
        <v>350</v>
      </c>
      <c r="F4" s="336"/>
      <c r="G4" s="336"/>
      <c r="H4" s="336"/>
      <c r="I4" s="336"/>
      <c r="J4" s="336"/>
      <c r="K4" s="336"/>
      <c r="L4" s="336"/>
      <c r="M4" s="337"/>
      <c r="N4" s="181"/>
      <c r="R4" s="211"/>
    </row>
    <row r="5" spans="1:18">
      <c r="A5" s="114" t="s">
        <v>341</v>
      </c>
      <c r="B5" s="118" t="s">
        <v>310</v>
      </c>
      <c r="C5" s="102" t="s">
        <v>374</v>
      </c>
      <c r="D5" s="169">
        <v>25</v>
      </c>
      <c r="E5" s="182" t="s">
        <v>282</v>
      </c>
      <c r="F5" s="250" t="s">
        <v>285</v>
      </c>
      <c r="G5" s="147">
        <f>B11^3/(3*B7*B18)</f>
        <v>0</v>
      </c>
      <c r="H5" s="81">
        <v>0</v>
      </c>
      <c r="I5" s="81">
        <v>0</v>
      </c>
      <c r="J5" s="81">
        <v>0</v>
      </c>
      <c r="K5" s="142">
        <f>G9</f>
        <v>0</v>
      </c>
      <c r="L5" s="81">
        <v>0</v>
      </c>
      <c r="M5" s="183" t="s">
        <v>276</v>
      </c>
      <c r="N5" s="181"/>
      <c r="R5" s="211"/>
    </row>
    <row r="6" spans="1:18">
      <c r="A6" s="114" t="s">
        <v>344</v>
      </c>
      <c r="B6" s="118" t="s">
        <v>286</v>
      </c>
      <c r="C6" s="102" t="s">
        <v>32</v>
      </c>
      <c r="D6" s="169">
        <f>1770*9.8</f>
        <v>17346</v>
      </c>
      <c r="E6" s="182" t="s">
        <v>283</v>
      </c>
      <c r="F6" s="250"/>
      <c r="G6" s="81">
        <v>0</v>
      </c>
      <c r="H6" s="142">
        <f>B11^3/(3*B7*B17)</f>
        <v>0</v>
      </c>
      <c r="I6" s="81">
        <v>0</v>
      </c>
      <c r="J6" s="142">
        <f>B11^2/(2*B7*B17)</f>
        <v>0</v>
      </c>
      <c r="K6" s="81">
        <v>0</v>
      </c>
      <c r="L6" s="81">
        <v>0</v>
      </c>
      <c r="M6" s="183" t="s">
        <v>277</v>
      </c>
      <c r="N6" s="181"/>
      <c r="R6" s="211"/>
    </row>
    <row r="7" spans="1:18">
      <c r="A7" s="102" t="s">
        <v>291</v>
      </c>
      <c r="B7" s="82">
        <f>69000</f>
        <v>69000</v>
      </c>
      <c r="C7" s="102" t="s">
        <v>243</v>
      </c>
      <c r="D7" s="169">
        <f>647*1000</f>
        <v>647000</v>
      </c>
      <c r="E7" s="182" t="s">
        <v>284</v>
      </c>
      <c r="F7" s="250"/>
      <c r="G7" s="81">
        <v>0</v>
      </c>
      <c r="H7" s="81">
        <v>0</v>
      </c>
      <c r="I7" s="142">
        <f>B12/(B16*B7)</f>
        <v>5.7971130435014511E-6</v>
      </c>
      <c r="J7" s="81">
        <v>0</v>
      </c>
      <c r="K7" s="81">
        <v>0</v>
      </c>
      <c r="L7" s="81">
        <v>0</v>
      </c>
      <c r="M7" s="183" t="s">
        <v>278</v>
      </c>
      <c r="N7" s="181"/>
      <c r="R7" s="211"/>
    </row>
    <row r="8" spans="1:18">
      <c r="A8" s="102" t="s">
        <v>287</v>
      </c>
      <c r="B8" s="82">
        <v>0.33400000000000002</v>
      </c>
      <c r="C8" s="102" t="s">
        <v>33</v>
      </c>
      <c r="D8" s="169">
        <v>3</v>
      </c>
      <c r="E8" s="182" t="s">
        <v>273</v>
      </c>
      <c r="F8" s="250"/>
      <c r="G8" s="148"/>
      <c r="H8" s="142">
        <f>J6</f>
        <v>0</v>
      </c>
      <c r="I8" s="81">
        <v>0</v>
      </c>
      <c r="J8" s="142">
        <f>B11/(B7*B17)</f>
        <v>0</v>
      </c>
      <c r="K8" s="81">
        <v>0</v>
      </c>
      <c r="L8" s="81">
        <v>0</v>
      </c>
      <c r="M8" s="183" t="s">
        <v>279</v>
      </c>
      <c r="N8" s="181"/>
      <c r="R8" s="211"/>
    </row>
    <row r="9" spans="1:18">
      <c r="A9" s="102" t="s">
        <v>292</v>
      </c>
      <c r="B9" s="97">
        <f>B7/(2*(1+B8))</f>
        <v>25862.068965517239</v>
      </c>
      <c r="C9" s="102" t="s">
        <v>34</v>
      </c>
      <c r="D9" s="169">
        <v>0.01</v>
      </c>
      <c r="E9" s="182" t="s">
        <v>275</v>
      </c>
      <c r="F9" s="250"/>
      <c r="G9" s="142">
        <f>-1*B11^2/(2*B7*B18)</f>
        <v>0</v>
      </c>
      <c r="H9" s="81">
        <v>0</v>
      </c>
      <c r="I9" s="81">
        <v>0</v>
      </c>
      <c r="J9" s="81">
        <v>0</v>
      </c>
      <c r="K9" s="142">
        <f>B11/(B7*B18)</f>
        <v>0</v>
      </c>
      <c r="L9" s="81">
        <v>0</v>
      </c>
      <c r="M9" s="183" t="s">
        <v>280</v>
      </c>
      <c r="N9" s="181"/>
      <c r="R9" s="211"/>
    </row>
    <row r="10" spans="1:18" ht="16" thickBot="1">
      <c r="A10" s="213" t="s">
        <v>346</v>
      </c>
      <c r="B10" s="82"/>
      <c r="C10" s="102" t="s">
        <v>288</v>
      </c>
      <c r="D10" s="239">
        <f>D6/(D8*D9)</f>
        <v>578200</v>
      </c>
      <c r="E10" s="184" t="s">
        <v>274</v>
      </c>
      <c r="F10" s="251"/>
      <c r="G10" s="166">
        <v>0</v>
      </c>
      <c r="H10" s="166">
        <v>0</v>
      </c>
      <c r="I10" s="166">
        <v>0</v>
      </c>
      <c r="J10" s="166">
        <v>0</v>
      </c>
      <c r="K10" s="166">
        <v>0</v>
      </c>
      <c r="L10" s="190">
        <f>B11/(B19*B9)</f>
        <v>0</v>
      </c>
      <c r="M10" s="187" t="s">
        <v>281</v>
      </c>
      <c r="N10" s="181"/>
      <c r="R10" s="211"/>
    </row>
    <row r="11" spans="1:18">
      <c r="A11" s="102" t="s">
        <v>351</v>
      </c>
      <c r="B11" s="141">
        <f>Summary!K11+Summary!L11</f>
        <v>0</v>
      </c>
      <c r="C11" s="102" t="s">
        <v>35</v>
      </c>
      <c r="D11" s="82">
        <v>25</v>
      </c>
      <c r="E11" s="163"/>
      <c r="F11" s="163"/>
      <c r="G11" s="163"/>
      <c r="H11" s="163"/>
      <c r="I11" s="162"/>
      <c r="J11" s="163"/>
      <c r="K11" s="163"/>
      <c r="L11" s="163"/>
      <c r="M11" s="163"/>
      <c r="O11" s="149"/>
      <c r="R11" s="211"/>
    </row>
    <row r="12" spans="1:18">
      <c r="A12" s="102" t="s">
        <v>234</v>
      </c>
      <c r="B12" s="83">
        <v>500</v>
      </c>
      <c r="C12" s="102" t="s">
        <v>386</v>
      </c>
      <c r="D12" s="101">
        <f>D7*D11^2/4</f>
        <v>101093750</v>
      </c>
      <c r="I12" s="82"/>
      <c r="O12" s="149"/>
      <c r="R12" s="211"/>
    </row>
    <row r="13" spans="1:18">
      <c r="A13" s="102" t="s">
        <v>366</v>
      </c>
      <c r="B13" s="82">
        <f>4*25.4</f>
        <v>101.6</v>
      </c>
      <c r="C13" s="102" t="s">
        <v>289</v>
      </c>
      <c r="D13" s="101">
        <f>D7*D11^2/12</f>
        <v>33697916.666666664</v>
      </c>
      <c r="I13" s="82"/>
      <c r="O13" s="149"/>
      <c r="R13" s="211"/>
    </row>
    <row r="14" spans="1:18">
      <c r="A14" s="102" t="s">
        <v>363</v>
      </c>
      <c r="B14" s="82">
        <f>4*25.4</f>
        <v>101.6</v>
      </c>
      <c r="C14" s="102" t="s">
        <v>290</v>
      </c>
      <c r="D14" s="97">
        <f>D13</f>
        <v>33697916.666666664</v>
      </c>
      <c r="I14" s="82"/>
      <c r="O14" s="149"/>
      <c r="R14" s="211"/>
    </row>
    <row r="15" spans="1:18">
      <c r="A15" s="102" t="s">
        <v>271</v>
      </c>
      <c r="B15" s="82">
        <f>0.125*25.4</f>
        <v>3.1749999999999998</v>
      </c>
      <c r="C15" s="114" t="s">
        <v>375</v>
      </c>
      <c r="D15" s="82"/>
      <c r="I15" s="82"/>
      <c r="O15" s="149"/>
      <c r="R15" s="211"/>
    </row>
    <row r="16" spans="1:18">
      <c r="A16" s="102" t="s">
        <v>272</v>
      </c>
      <c r="B16" s="97">
        <f>B13*B14-(B13-2*B15)*(B14-2*B15)</f>
        <v>1249.9974999999995</v>
      </c>
      <c r="C16" s="115" t="s">
        <v>267</v>
      </c>
      <c r="D16" s="118" t="s">
        <v>10</v>
      </c>
      <c r="I16" s="82"/>
      <c r="O16" s="149"/>
      <c r="R16" s="211"/>
    </row>
    <row r="17" spans="1:19">
      <c r="A17" s="260" t="s">
        <v>400</v>
      </c>
      <c r="B17" s="98">
        <f>(B14^3*B13-(B13-2*B15)*(B14-2*B15)^3)/12</f>
        <v>2020321.2197661449</v>
      </c>
      <c r="C17" s="116" t="s">
        <v>269</v>
      </c>
      <c r="D17" s="82">
        <v>12</v>
      </c>
      <c r="I17" s="82"/>
      <c r="O17" s="149"/>
      <c r="R17" s="211"/>
    </row>
    <row r="18" spans="1:19">
      <c r="A18" s="260" t="s">
        <v>401</v>
      </c>
      <c r="B18" s="98">
        <f>(B14*B13^3-(B13-2*B15)^3*(B14-2*B15))/12</f>
        <v>2020321.2197661449</v>
      </c>
      <c r="C18" s="116" t="s">
        <v>234</v>
      </c>
      <c r="D18" s="97">
        <v>100</v>
      </c>
      <c r="I18" s="82"/>
      <c r="O18" s="149"/>
      <c r="R18" s="211"/>
    </row>
    <row r="19" spans="1:19">
      <c r="A19" s="102" t="s">
        <v>236</v>
      </c>
      <c r="B19" s="98">
        <f>2*B15*B15*(B13-B15)^2*(B14-B15)^2/(B13*B15+B14*B15-2*B15^2)</f>
        <v>3027331.6406371091</v>
      </c>
      <c r="C19" s="102" t="s">
        <v>54</v>
      </c>
      <c r="D19" s="117">
        <v>200000</v>
      </c>
      <c r="I19" s="82"/>
      <c r="O19" s="149"/>
      <c r="R19" s="211"/>
    </row>
    <row r="20" spans="1:19">
      <c r="A20" s="102" t="s">
        <v>339</v>
      </c>
      <c r="B20" s="97">
        <f>B18/B16</f>
        <v>1616.2602083333331</v>
      </c>
      <c r="C20" s="116" t="s">
        <v>268</v>
      </c>
      <c r="D20" s="98">
        <f t="shared" ref="D20" si="0">PI()*D17^2/4*D19/D18</f>
        <v>226194.67105846509</v>
      </c>
      <c r="I20" s="82"/>
      <c r="O20" s="149"/>
      <c r="R20" s="211"/>
    </row>
    <row r="21" spans="1:19" ht="16" thickBot="1">
      <c r="A21" s="241" t="s">
        <v>314</v>
      </c>
      <c r="B21" s="247">
        <f>3*B7*B18/B12^3</f>
        <v>3345.6519399327358</v>
      </c>
      <c r="C21" s="241" t="s">
        <v>320</v>
      </c>
      <c r="D21" s="231">
        <v>3</v>
      </c>
      <c r="E21" s="176"/>
      <c r="F21" s="176"/>
      <c r="G21" s="176"/>
      <c r="H21" s="176"/>
      <c r="I21" s="231"/>
      <c r="J21" s="176"/>
      <c r="K21" s="176"/>
      <c r="L21" s="176"/>
      <c r="M21" s="176"/>
      <c r="O21" s="149"/>
      <c r="R21" s="211"/>
    </row>
    <row r="22" spans="1:19" ht="16" thickBot="1">
      <c r="A22" s="356" t="s">
        <v>358</v>
      </c>
      <c r="B22" s="357"/>
      <c r="C22" s="357"/>
      <c r="D22" s="357"/>
      <c r="E22" s="357"/>
      <c r="F22" s="357"/>
      <c r="G22" s="357"/>
      <c r="H22" s="357"/>
      <c r="I22" s="357"/>
      <c r="J22" s="357"/>
      <c r="K22" s="357"/>
      <c r="L22" s="357"/>
      <c r="M22" s="358"/>
      <c r="N22" s="181"/>
      <c r="O22" s="149"/>
      <c r="R22" s="211"/>
    </row>
    <row r="23" spans="1:19" ht="30">
      <c r="A23" s="274" t="s">
        <v>381</v>
      </c>
      <c r="B23" s="234"/>
      <c r="C23" s="242" t="s">
        <v>265</v>
      </c>
      <c r="D23" s="163"/>
      <c r="E23" s="163"/>
      <c r="F23" s="163"/>
      <c r="G23" s="163"/>
      <c r="H23" s="162"/>
      <c r="I23" s="162"/>
      <c r="J23" s="163"/>
      <c r="K23" s="163"/>
      <c r="L23" s="163"/>
      <c r="M23" s="163"/>
      <c r="O23" s="149"/>
      <c r="R23" s="211"/>
    </row>
    <row r="24" spans="1:19">
      <c r="A24" s="102" t="s">
        <v>3</v>
      </c>
      <c r="B24" s="107"/>
      <c r="C24" s="154"/>
      <c r="O24" s="211"/>
      <c r="P24" s="211"/>
      <c r="Q24" s="211"/>
      <c r="R24" s="211"/>
    </row>
    <row r="25" spans="1:19">
      <c r="A25" s="219" t="s">
        <v>117</v>
      </c>
      <c r="B25" s="152">
        <f>SUM(H35:S35)+C25</f>
        <v>2588000</v>
      </c>
      <c r="C25" s="220">
        <v>0</v>
      </c>
      <c r="O25" s="211"/>
      <c r="P25" s="211"/>
      <c r="Q25" s="211"/>
      <c r="R25" s="211"/>
    </row>
    <row r="26" spans="1:19">
      <c r="A26" s="219" t="s">
        <v>118</v>
      </c>
      <c r="B26" s="152">
        <f>SUM(H36:S36)+C26</f>
        <v>2588000</v>
      </c>
      <c r="C26" s="220">
        <v>0</v>
      </c>
      <c r="G26" s="244" t="s">
        <v>185</v>
      </c>
      <c r="O26" s="211"/>
      <c r="P26" s="211"/>
      <c r="Q26" s="211"/>
      <c r="R26" s="211"/>
    </row>
    <row r="27" spans="1:19">
      <c r="A27" s="219" t="s">
        <v>119</v>
      </c>
      <c r="B27" s="152">
        <f>SUM(H37:S37)+C27</f>
        <v>75398.223686155034</v>
      </c>
      <c r="C27" s="238">
        <f>D20/D21</f>
        <v>75398.223686155034</v>
      </c>
      <c r="G27" s="82" t="s">
        <v>124</v>
      </c>
      <c r="O27" s="211"/>
      <c r="P27" s="211"/>
      <c r="Q27" s="211"/>
      <c r="R27" s="211"/>
    </row>
    <row r="28" spans="1:19">
      <c r="A28" s="102" t="s">
        <v>115</v>
      </c>
      <c r="B28" s="107"/>
      <c r="C28" s="200"/>
      <c r="D28" s="87"/>
      <c r="E28" s="87"/>
      <c r="F28" s="87"/>
      <c r="G28" s="214" t="s">
        <v>133</v>
      </c>
      <c r="H28" s="215">
        <v>4</v>
      </c>
      <c r="O28" s="211"/>
      <c r="P28" s="211"/>
      <c r="Q28" s="211"/>
      <c r="R28" s="211"/>
    </row>
    <row r="29" spans="1:19">
      <c r="A29" s="219" t="s">
        <v>8</v>
      </c>
      <c r="B29" s="152">
        <f>SUM(H39:S39)+SUM(H43:S43)+C29</f>
        <v>26284375000</v>
      </c>
      <c r="C29" s="220">
        <v>0</v>
      </c>
      <c r="D29" s="87"/>
      <c r="E29" s="87"/>
      <c r="F29" s="87"/>
      <c r="H29" s="347" t="s">
        <v>129</v>
      </c>
      <c r="I29" s="347"/>
      <c r="J29" s="347"/>
      <c r="K29" s="347"/>
      <c r="L29" s="347"/>
      <c r="M29" s="347"/>
      <c r="N29" s="347"/>
      <c r="O29" s="347"/>
      <c r="P29" s="347"/>
      <c r="Q29" s="347"/>
      <c r="R29" s="347"/>
      <c r="S29" s="347"/>
    </row>
    <row r="30" spans="1:19">
      <c r="A30" s="219" t="s">
        <v>120</v>
      </c>
      <c r="B30" s="152">
        <f>SUM(H40:S40)+SUM(H44:S44)+C30</f>
        <v>26014791666.666668</v>
      </c>
      <c r="C30" s="220">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c r="A31" s="219" t="s">
        <v>116</v>
      </c>
      <c r="B31" s="152">
        <f>SUM(H41:S41)+SUM(H45:S45)+C31</f>
        <v>26014791666.666668</v>
      </c>
      <c r="C31" s="220">
        <v>0</v>
      </c>
      <c r="D31" s="87"/>
      <c r="E31" s="87"/>
      <c r="F31" s="87"/>
      <c r="G31" s="102" t="s">
        <v>42</v>
      </c>
      <c r="H31" s="215">
        <v>100</v>
      </c>
      <c r="I31" s="215">
        <v>-100</v>
      </c>
      <c r="J31" s="215">
        <v>-100</v>
      </c>
      <c r="K31" s="215">
        <v>100</v>
      </c>
      <c r="L31" s="215">
        <v>0</v>
      </c>
      <c r="M31" s="215">
        <v>0</v>
      </c>
      <c r="N31" s="215">
        <v>0</v>
      </c>
      <c r="O31" s="215">
        <v>0</v>
      </c>
      <c r="P31" s="215">
        <v>0</v>
      </c>
      <c r="Q31" s="215">
        <v>0</v>
      </c>
      <c r="R31" s="215">
        <v>0</v>
      </c>
      <c r="S31" s="215">
        <v>0</v>
      </c>
    </row>
    <row r="32" spans="1:19">
      <c r="A32" s="348" t="s">
        <v>190</v>
      </c>
      <c r="B32" s="348"/>
      <c r="C32" s="348"/>
      <c r="D32" s="87"/>
      <c r="E32" s="87"/>
      <c r="F32" s="87"/>
      <c r="G32" s="102" t="s">
        <v>43</v>
      </c>
      <c r="H32" s="215">
        <v>0</v>
      </c>
      <c r="I32" s="215">
        <v>0</v>
      </c>
      <c r="J32" s="215">
        <v>0</v>
      </c>
      <c r="K32" s="215">
        <v>0</v>
      </c>
      <c r="L32" s="215">
        <v>0</v>
      </c>
      <c r="M32" s="215">
        <v>0</v>
      </c>
      <c r="N32" s="215">
        <v>0</v>
      </c>
      <c r="O32" s="215">
        <v>0</v>
      </c>
      <c r="P32" s="215">
        <v>0</v>
      </c>
      <c r="Q32" s="215">
        <v>0</v>
      </c>
      <c r="R32" s="215">
        <v>0</v>
      </c>
      <c r="S32" s="215">
        <v>0</v>
      </c>
    </row>
    <row r="33" spans="1:19">
      <c r="A33" s="348"/>
      <c r="B33" s="348"/>
      <c r="C33" s="348"/>
      <c r="D33" s="87"/>
      <c r="E33" s="87"/>
      <c r="F33" s="87"/>
      <c r="G33" s="102" t="s">
        <v>44</v>
      </c>
      <c r="H33" s="215">
        <v>100</v>
      </c>
      <c r="I33" s="215">
        <v>100</v>
      </c>
      <c r="J33" s="215">
        <v>-100</v>
      </c>
      <c r="K33" s="215">
        <v>-100</v>
      </c>
      <c r="L33" s="215">
        <v>0</v>
      </c>
      <c r="M33" s="215">
        <v>0</v>
      </c>
      <c r="N33" s="215">
        <v>0</v>
      </c>
      <c r="O33" s="215">
        <v>0</v>
      </c>
      <c r="P33" s="215">
        <v>0</v>
      </c>
      <c r="Q33" s="215">
        <v>0</v>
      </c>
      <c r="R33" s="215">
        <v>0</v>
      </c>
      <c r="S33" s="215">
        <v>0</v>
      </c>
    </row>
    <row r="34" spans="1:19">
      <c r="A34" s="348"/>
      <c r="B34" s="348"/>
      <c r="C34" s="348"/>
      <c r="G34" s="82" t="s">
        <v>130</v>
      </c>
      <c r="H34" s="349"/>
      <c r="I34" s="349"/>
      <c r="J34" s="349"/>
      <c r="K34" s="349"/>
    </row>
    <row r="35" spans="1:19">
      <c r="A35" s="222" t="s">
        <v>186</v>
      </c>
      <c r="B35" s="215"/>
      <c r="C35" s="215"/>
      <c r="D35" s="87"/>
      <c r="E35" s="87"/>
      <c r="F35" s="87"/>
      <c r="G35" s="102" t="s">
        <v>117</v>
      </c>
      <c r="H35" s="142">
        <f>D7</f>
        <v>647000</v>
      </c>
      <c r="I35" s="142">
        <f>H35</f>
        <v>647000</v>
      </c>
      <c r="J35" s="142">
        <f>I35</f>
        <v>647000</v>
      </c>
      <c r="K35" s="142">
        <f>J35</f>
        <v>647000</v>
      </c>
      <c r="L35" s="215">
        <v>0</v>
      </c>
      <c r="M35" s="215">
        <v>0</v>
      </c>
      <c r="N35" s="215">
        <v>0</v>
      </c>
      <c r="O35" s="215">
        <v>0</v>
      </c>
      <c r="P35" s="215">
        <v>0</v>
      </c>
      <c r="Q35" s="215">
        <v>0</v>
      </c>
      <c r="R35" s="215">
        <v>0</v>
      </c>
      <c r="S35" s="215">
        <v>0</v>
      </c>
    </row>
    <row r="36" spans="1:19">
      <c r="A36" s="81" t="s">
        <v>109</v>
      </c>
      <c r="D36" s="87"/>
      <c r="E36" s="87"/>
      <c r="F36" s="87"/>
      <c r="G36" s="102" t="s">
        <v>118</v>
      </c>
      <c r="H36" s="142">
        <f>'ref bearings, servo, structure'!B5</f>
        <v>647000</v>
      </c>
      <c r="I36" s="142">
        <f>H36</f>
        <v>647000</v>
      </c>
      <c r="J36" s="142">
        <f t="shared" ref="J36:K36" si="2">I36</f>
        <v>647000</v>
      </c>
      <c r="K36" s="142">
        <f t="shared" si="2"/>
        <v>647000</v>
      </c>
      <c r="L36" s="215">
        <v>0</v>
      </c>
      <c r="M36" s="215">
        <v>0</v>
      </c>
      <c r="N36" s="215">
        <v>0</v>
      </c>
      <c r="O36" s="215">
        <v>0</v>
      </c>
      <c r="P36" s="215">
        <v>0</v>
      </c>
      <c r="Q36" s="215">
        <v>0</v>
      </c>
      <c r="R36" s="215">
        <v>0</v>
      </c>
      <c r="S36" s="215">
        <v>0</v>
      </c>
    </row>
    <row r="37" spans="1:19">
      <c r="A37" s="102" t="s">
        <v>187</v>
      </c>
      <c r="B37" s="215">
        <v>0</v>
      </c>
      <c r="D37" s="87"/>
      <c r="E37" s="87"/>
      <c r="F37" s="87"/>
      <c r="G37" s="102" t="s">
        <v>119</v>
      </c>
      <c r="H37" s="142">
        <v>0</v>
      </c>
      <c r="I37" s="142">
        <v>0</v>
      </c>
      <c r="J37" s="142">
        <v>0</v>
      </c>
      <c r="K37" s="142">
        <v>0</v>
      </c>
      <c r="L37" s="215">
        <v>0</v>
      </c>
      <c r="M37" s="215">
        <v>0</v>
      </c>
      <c r="N37" s="215">
        <v>0</v>
      </c>
      <c r="O37" s="215">
        <v>0</v>
      </c>
      <c r="P37" s="215">
        <v>0</v>
      </c>
      <c r="Q37" s="215">
        <v>0</v>
      </c>
      <c r="R37" s="215">
        <v>0</v>
      </c>
      <c r="S37" s="215">
        <v>0</v>
      </c>
    </row>
    <row r="38" spans="1:19">
      <c r="A38" s="102" t="s">
        <v>188</v>
      </c>
      <c r="B38" s="215">
        <v>0</v>
      </c>
      <c r="D38" s="87"/>
      <c r="E38" s="87"/>
      <c r="F38" s="87"/>
      <c r="G38" s="82" t="s">
        <v>131</v>
      </c>
      <c r="H38" s="349"/>
      <c r="I38" s="349"/>
      <c r="J38" s="349"/>
      <c r="K38" s="349"/>
    </row>
    <row r="39" spans="1:19">
      <c r="A39" s="102" t="s">
        <v>189</v>
      </c>
      <c r="B39" s="215">
        <v>0</v>
      </c>
      <c r="D39" s="87"/>
      <c r="E39" s="87"/>
      <c r="F39" s="87"/>
      <c r="G39" s="102" t="s">
        <v>8</v>
      </c>
      <c r="H39" s="142">
        <f>'ref bearings, servo, structure'!B10</f>
        <v>101093750</v>
      </c>
      <c r="I39" s="142">
        <f>H39</f>
        <v>101093750</v>
      </c>
      <c r="J39" s="142">
        <f t="shared" ref="J39:K39" si="3">I39</f>
        <v>101093750</v>
      </c>
      <c r="K39" s="142">
        <f t="shared" si="3"/>
        <v>101093750</v>
      </c>
      <c r="L39" s="215">
        <v>0</v>
      </c>
      <c r="M39" s="215">
        <v>0</v>
      </c>
      <c r="N39" s="215">
        <v>0</v>
      </c>
      <c r="O39" s="215">
        <v>0</v>
      </c>
      <c r="P39" s="215">
        <v>0</v>
      </c>
      <c r="Q39" s="215">
        <v>0</v>
      </c>
      <c r="R39" s="215">
        <v>0</v>
      </c>
      <c r="S39" s="215">
        <v>0</v>
      </c>
    </row>
    <row r="40" spans="1:19">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5">
        <v>0</v>
      </c>
      <c r="M40" s="215">
        <v>0</v>
      </c>
      <c r="N40" s="215">
        <v>0</v>
      </c>
      <c r="O40" s="215">
        <v>0</v>
      </c>
      <c r="P40" s="215">
        <v>0</v>
      </c>
      <c r="Q40" s="215">
        <v>0</v>
      </c>
      <c r="R40" s="215">
        <v>0</v>
      </c>
      <c r="S40" s="215">
        <v>0</v>
      </c>
    </row>
    <row r="41" spans="1:19">
      <c r="A41" s="102" t="s">
        <v>187</v>
      </c>
      <c r="B41" s="215">
        <v>0</v>
      </c>
      <c r="G41" s="102" t="s">
        <v>116</v>
      </c>
      <c r="H41" s="142">
        <f>'ref bearings, servo, structure'!B11</f>
        <v>33697916.666666664</v>
      </c>
      <c r="I41" s="142">
        <f t="shared" si="4"/>
        <v>33697916.666666664</v>
      </c>
      <c r="J41" s="142">
        <f t="shared" si="4"/>
        <v>33697916.666666664</v>
      </c>
      <c r="K41" s="142">
        <f t="shared" si="4"/>
        <v>33697916.666666664</v>
      </c>
      <c r="L41" s="215">
        <v>0</v>
      </c>
      <c r="M41" s="215">
        <v>0</v>
      </c>
      <c r="N41" s="215">
        <v>0</v>
      </c>
      <c r="O41" s="215">
        <v>0</v>
      </c>
      <c r="P41" s="215">
        <v>0</v>
      </c>
      <c r="Q41" s="215">
        <v>0</v>
      </c>
      <c r="R41" s="215">
        <v>0</v>
      </c>
      <c r="S41" s="215">
        <v>0</v>
      </c>
    </row>
    <row r="42" spans="1:19">
      <c r="A42" s="102" t="s">
        <v>188</v>
      </c>
      <c r="B42" s="215">
        <v>0</v>
      </c>
      <c r="D42" s="218"/>
      <c r="E42" s="218"/>
      <c r="F42" s="218"/>
      <c r="G42" s="82" t="s">
        <v>125</v>
      </c>
    </row>
    <row r="43" spans="1:19">
      <c r="A43" s="102" t="s">
        <v>189</v>
      </c>
      <c r="B43" s="215">
        <v>0</v>
      </c>
      <c r="D43" s="154"/>
      <c r="E43" s="154"/>
      <c r="F43" s="154"/>
      <c r="G43" s="102" t="s">
        <v>8</v>
      </c>
      <c r="H43" s="152">
        <f>H36*H33^2+H37*H32^2</f>
        <v>6470000000</v>
      </c>
      <c r="I43" s="152">
        <f t="shared" ref="I43:S43" si="5">I36*I33^2+I37*I32^2</f>
        <v>6470000000</v>
      </c>
      <c r="J43" s="152">
        <f t="shared" si="5"/>
        <v>6470000000</v>
      </c>
      <c r="K43" s="152">
        <f t="shared" si="5"/>
        <v>6470000000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6" t="s">
        <v>207</v>
      </c>
      <c r="D44" s="220"/>
      <c r="E44" s="220"/>
      <c r="F44" s="220"/>
      <c r="G44" s="102" t="s">
        <v>120</v>
      </c>
      <c r="H44" s="152">
        <f>H35*H33^2+H37*H31^2</f>
        <v>6470000000</v>
      </c>
      <c r="I44" s="152">
        <f t="shared" ref="I44:S44" si="6">I35*I33^2+I37*I31^2</f>
        <v>6470000000</v>
      </c>
      <c r="J44" s="152">
        <f t="shared" si="6"/>
        <v>6470000000</v>
      </c>
      <c r="K44" s="152">
        <f t="shared" si="6"/>
        <v>6470000000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0"/>
      <c r="E45" s="220"/>
      <c r="F45" s="220"/>
      <c r="G45" s="102" t="s">
        <v>116</v>
      </c>
      <c r="H45" s="152">
        <f>H35*H32^2+H36*H31^2</f>
        <v>6470000000</v>
      </c>
      <c r="I45" s="152">
        <f t="shared" ref="I45:S45" si="7">I35*I32^2+I36*I31^2</f>
        <v>6470000000</v>
      </c>
      <c r="J45" s="152">
        <f t="shared" si="7"/>
        <v>6470000000</v>
      </c>
      <c r="K45" s="152">
        <f t="shared" si="7"/>
        <v>6470000000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0"/>
      <c r="E46" s="220"/>
      <c r="F46" s="220"/>
      <c r="G46" s="82" t="s">
        <v>307</v>
      </c>
    </row>
    <row r="47" spans="1:19">
      <c r="A47" s="102" t="s">
        <v>123</v>
      </c>
      <c r="B47" s="105">
        <f t="shared" si="8"/>
        <v>5.0000000000000001E-3</v>
      </c>
      <c r="C47" s="87"/>
      <c r="D47" s="200"/>
      <c r="E47" s="200"/>
      <c r="F47" s="200"/>
      <c r="G47" s="102" t="s">
        <v>121</v>
      </c>
      <c r="H47" s="215">
        <f t="shared" ref="H47:K49" si="9">0.005</f>
        <v>5.0000000000000001E-3</v>
      </c>
      <c r="I47" s="215">
        <f t="shared" si="9"/>
        <v>5.0000000000000001E-3</v>
      </c>
      <c r="J47" s="215">
        <f t="shared" si="9"/>
        <v>5.0000000000000001E-3</v>
      </c>
      <c r="K47" s="215">
        <f t="shared" si="9"/>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5.0000000000000009E-5</v>
      </c>
      <c r="C48" s="87"/>
      <c r="D48" s="220"/>
      <c r="E48" s="220"/>
      <c r="F48" s="220"/>
      <c r="G48" s="102" t="s">
        <v>122</v>
      </c>
      <c r="H48" s="215">
        <f t="shared" si="9"/>
        <v>5.0000000000000001E-3</v>
      </c>
      <c r="I48" s="215">
        <f t="shared" si="9"/>
        <v>5.0000000000000001E-3</v>
      </c>
      <c r="J48" s="215">
        <f t="shared" si="9"/>
        <v>5.0000000000000001E-3</v>
      </c>
      <c r="K48" s="215">
        <f t="shared" si="9"/>
        <v>5.0000000000000001E-3</v>
      </c>
      <c r="L48" s="215">
        <v>0</v>
      </c>
      <c r="M48" s="215">
        <v>0</v>
      </c>
      <c r="N48" s="215">
        <v>0</v>
      </c>
      <c r="O48" s="215">
        <v>0</v>
      </c>
      <c r="P48" s="215">
        <v>0</v>
      </c>
      <c r="Q48" s="215">
        <v>0</v>
      </c>
      <c r="R48" s="215">
        <v>0</v>
      </c>
      <c r="S48" s="215">
        <v>0</v>
      </c>
    </row>
    <row r="49" spans="1:21">
      <c r="A49" s="102" t="s">
        <v>86</v>
      </c>
      <c r="B49" s="105">
        <f>SQRT((H52^2+I52^2+J52^2+K52^2+L52^2+M52^2+N52^2+O52^2+P52^2+Q52^2+R52^2+S52^2+B38^2)/H$28)</f>
        <v>4.999999975000001E-5</v>
      </c>
      <c r="C49" s="87"/>
      <c r="D49" s="220"/>
      <c r="E49" s="220"/>
      <c r="F49" s="220"/>
      <c r="G49" s="102" t="s">
        <v>123</v>
      </c>
      <c r="H49" s="215">
        <f t="shared" si="9"/>
        <v>5.0000000000000001E-3</v>
      </c>
      <c r="I49" s="215">
        <f t="shared" si="9"/>
        <v>5.0000000000000001E-3</v>
      </c>
      <c r="J49" s="215">
        <f t="shared" si="9"/>
        <v>5.0000000000000001E-3</v>
      </c>
      <c r="K49" s="215">
        <f t="shared" si="9"/>
        <v>5.0000000000000001E-3</v>
      </c>
      <c r="L49" s="215">
        <v>0</v>
      </c>
      <c r="M49" s="215">
        <v>0</v>
      </c>
      <c r="N49" s="215">
        <v>0</v>
      </c>
      <c r="O49" s="215">
        <v>0</v>
      </c>
      <c r="P49" s="215">
        <v>0</v>
      </c>
      <c r="Q49" s="215">
        <v>0</v>
      </c>
      <c r="R49" s="215">
        <v>0</v>
      </c>
      <c r="S49" s="215">
        <v>0</v>
      </c>
    </row>
    <row r="50" spans="1:21">
      <c r="A50" s="102" t="s">
        <v>87</v>
      </c>
      <c r="B50" s="105">
        <f>SQRT((H53^2+I53^2+J53^2+K53^2+L53^2+M53^2+N53^2+O53^2+P53^2+Q53^2+R53^2+S53^2+B39^2)/H$28)</f>
        <v>5.0000000000000009E-5</v>
      </c>
      <c r="C50" s="87"/>
      <c r="D50" s="220"/>
      <c r="E50" s="220"/>
      <c r="F50" s="220"/>
      <c r="G50" s="82" t="s">
        <v>252</v>
      </c>
    </row>
    <row r="51" spans="1:21" ht="45">
      <c r="A51" s="217" t="s">
        <v>208</v>
      </c>
      <c r="B51" s="107"/>
      <c r="D51" s="221"/>
      <c r="E51" s="221"/>
      <c r="F51" s="221"/>
      <c r="G51" s="102" t="s">
        <v>85</v>
      </c>
      <c r="H51" s="152">
        <f>H98</f>
        <v>4.9999999500000004E-5</v>
      </c>
      <c r="I51" s="152">
        <f t="shared" ref="I51:S51" si="10">I98</f>
        <v>4.9999999500000004E-5</v>
      </c>
      <c r="J51" s="152">
        <f t="shared" si="10"/>
        <v>5.0000000500000007E-5</v>
      </c>
      <c r="K51" s="152">
        <f t="shared" si="10"/>
        <v>5.0000000500000007E-5</v>
      </c>
      <c r="L51" s="152">
        <f t="shared" si="10"/>
        <v>0</v>
      </c>
      <c r="M51" s="152">
        <f t="shared" si="10"/>
        <v>0</v>
      </c>
      <c r="N51" s="152">
        <f t="shared" si="10"/>
        <v>0</v>
      </c>
      <c r="O51" s="152">
        <f t="shared" si="10"/>
        <v>0</v>
      </c>
      <c r="P51" s="152">
        <f t="shared" si="10"/>
        <v>0</v>
      </c>
      <c r="Q51" s="152">
        <f t="shared" si="10"/>
        <v>0</v>
      </c>
      <c r="R51" s="152">
        <f t="shared" si="10"/>
        <v>0</v>
      </c>
      <c r="S51" s="152">
        <f t="shared" si="10"/>
        <v>0</v>
      </c>
    </row>
    <row r="52" spans="1:21">
      <c r="A52" s="102" t="s">
        <v>121</v>
      </c>
      <c r="B52" s="105">
        <f>SQRT((H55^2+I55^2+J55^2+K55^2+L55^2+M55^2+N55^2+O55^2+P55^2+Q55^2+R55^2+S55^2)/H$28)</f>
        <v>0</v>
      </c>
      <c r="C52" s="87"/>
      <c r="D52" s="221"/>
      <c r="E52" s="221"/>
      <c r="F52" s="221"/>
      <c r="G52" s="102" t="s">
        <v>86</v>
      </c>
      <c r="H52" s="152">
        <f>H102</f>
        <v>4.9999999500000004E-5</v>
      </c>
      <c r="I52" s="152">
        <f t="shared" ref="I52:S52" si="11">I102</f>
        <v>4.9999999500000004E-5</v>
      </c>
      <c r="J52" s="152">
        <f t="shared" si="11"/>
        <v>5.0000000500000007E-5</v>
      </c>
      <c r="K52" s="152">
        <f t="shared" si="11"/>
        <v>4.9999999500000004E-5</v>
      </c>
      <c r="L52" s="152">
        <f t="shared" si="11"/>
        <v>0</v>
      </c>
      <c r="M52" s="152">
        <f t="shared" si="11"/>
        <v>0</v>
      </c>
      <c r="N52" s="152">
        <f t="shared" si="11"/>
        <v>0</v>
      </c>
      <c r="O52" s="152">
        <f t="shared" si="11"/>
        <v>0</v>
      </c>
      <c r="P52" s="152">
        <f t="shared" si="11"/>
        <v>0</v>
      </c>
      <c r="Q52" s="152">
        <f t="shared" si="11"/>
        <v>0</v>
      </c>
      <c r="R52" s="152">
        <f t="shared" si="11"/>
        <v>0</v>
      </c>
      <c r="S52" s="152">
        <f t="shared" si="11"/>
        <v>0</v>
      </c>
      <c r="T52" s="83"/>
    </row>
    <row r="53" spans="1:21">
      <c r="A53" s="102" t="s">
        <v>122</v>
      </c>
      <c r="B53" s="105">
        <f t="shared" ref="B53:B54" si="12">SQRT((H56^2+I56^2+J56^2+K56^2+L56^2+M56^2+N56^2+O56^2+P56^2+Q56^2+R56^2+S56^2)/H$28)</f>
        <v>0</v>
      </c>
      <c r="C53" s="87"/>
      <c r="D53" s="221"/>
      <c r="E53" s="221"/>
      <c r="F53" s="221"/>
      <c r="G53" s="102" t="s">
        <v>87</v>
      </c>
      <c r="H53" s="152">
        <f>H106</f>
        <v>4.9999999500000004E-5</v>
      </c>
      <c r="I53" s="152">
        <f t="shared" ref="I53:S53" si="13">I106</f>
        <v>5.0000000500000007E-5</v>
      </c>
      <c r="J53" s="152">
        <f t="shared" si="13"/>
        <v>5.0000000500000007E-5</v>
      </c>
      <c r="K53" s="152">
        <f t="shared" si="13"/>
        <v>4.9999999500000004E-5</v>
      </c>
      <c r="L53" s="152">
        <f t="shared" si="13"/>
        <v>0</v>
      </c>
      <c r="M53" s="152">
        <f t="shared" si="13"/>
        <v>0</v>
      </c>
      <c r="N53" s="152">
        <f t="shared" si="13"/>
        <v>0</v>
      </c>
      <c r="O53" s="152">
        <f t="shared" si="13"/>
        <v>0</v>
      </c>
      <c r="P53" s="152">
        <f t="shared" si="13"/>
        <v>0</v>
      </c>
      <c r="Q53" s="152">
        <f t="shared" si="13"/>
        <v>0</v>
      </c>
      <c r="R53" s="152">
        <f t="shared" si="13"/>
        <v>0</v>
      </c>
      <c r="S53" s="152">
        <f t="shared" si="13"/>
        <v>0</v>
      </c>
      <c r="U53" s="152"/>
    </row>
    <row r="54" spans="1:21">
      <c r="A54" s="102" t="s">
        <v>123</v>
      </c>
      <c r="B54" s="105">
        <f t="shared" si="12"/>
        <v>0</v>
      </c>
      <c r="C54" s="87"/>
      <c r="D54" s="215"/>
      <c r="E54" s="215"/>
      <c r="F54" s="215"/>
      <c r="G54" s="82" t="s">
        <v>333</v>
      </c>
    </row>
    <row r="55" spans="1:21">
      <c r="A55" s="102" t="s">
        <v>85</v>
      </c>
      <c r="B55" s="105">
        <f>SQRT((H59^2+I59^2+J59^2+K59^2+L59^2+M59^2+N59^2+O59^2+P59^2+Q59^2+R59^2+S59^2+B41^2)/H$28)</f>
        <v>0</v>
      </c>
      <c r="C55" s="87"/>
      <c r="G55" s="102" t="s">
        <v>121</v>
      </c>
      <c r="H55" s="215">
        <v>0</v>
      </c>
      <c r="I55" s="215">
        <v>0</v>
      </c>
      <c r="J55" s="215">
        <v>0</v>
      </c>
      <c r="K55" s="215">
        <v>0</v>
      </c>
      <c r="L55" s="215">
        <v>0</v>
      </c>
      <c r="M55" s="215">
        <v>0</v>
      </c>
      <c r="N55" s="215">
        <v>0</v>
      </c>
      <c r="O55" s="215">
        <v>0</v>
      </c>
      <c r="P55" s="215">
        <v>0</v>
      </c>
      <c r="Q55" s="215">
        <v>0</v>
      </c>
      <c r="R55" s="215">
        <v>0</v>
      </c>
      <c r="S55" s="215">
        <v>0</v>
      </c>
    </row>
    <row r="56" spans="1:21">
      <c r="A56" s="102" t="s">
        <v>86</v>
      </c>
      <c r="B56" s="105">
        <f>SQRT((H60^2+I60^2+J60^2+K60^2+L60^2+M60^2+N60^2+O60^2+P60^2+Q60^2+R60^2+S60^2+B42^2)/H$28)</f>
        <v>0</v>
      </c>
      <c r="C56" s="87"/>
      <c r="G56" s="102" t="s">
        <v>122</v>
      </c>
      <c r="H56" s="215">
        <v>0</v>
      </c>
      <c r="I56" s="215">
        <v>0</v>
      </c>
      <c r="J56" s="215">
        <v>0</v>
      </c>
      <c r="K56" s="215">
        <v>0</v>
      </c>
      <c r="L56" s="215">
        <v>0</v>
      </c>
      <c r="M56" s="215">
        <v>0</v>
      </c>
      <c r="N56" s="215">
        <v>0</v>
      </c>
      <c r="O56" s="215">
        <v>0</v>
      </c>
      <c r="P56" s="215">
        <v>0</v>
      </c>
      <c r="Q56" s="215">
        <v>0</v>
      </c>
      <c r="R56" s="215">
        <v>0</v>
      </c>
      <c r="S56" s="215">
        <v>0</v>
      </c>
    </row>
    <row r="57" spans="1:21">
      <c r="A57" s="102" t="s">
        <v>87</v>
      </c>
      <c r="B57" s="105">
        <f>SQRT((H61^2+I61^2+J61^2+K61^2+L61^2+M61^2+N61^2+O61^2+P61^2+Q61^2+R61^2+S61^2+B43^2)/H$28)</f>
        <v>0</v>
      </c>
      <c r="C57" s="87"/>
      <c r="G57" s="102" t="s">
        <v>123</v>
      </c>
      <c r="H57" s="215">
        <v>0</v>
      </c>
      <c r="I57" s="215">
        <v>0</v>
      </c>
      <c r="J57" s="215">
        <v>0</v>
      </c>
      <c r="K57" s="215">
        <v>0</v>
      </c>
      <c r="L57" s="215">
        <v>0</v>
      </c>
      <c r="M57" s="215">
        <v>0</v>
      </c>
      <c r="N57" s="215">
        <v>0</v>
      </c>
      <c r="O57" s="215">
        <v>0</v>
      </c>
      <c r="P57" s="215">
        <v>0</v>
      </c>
      <c r="Q57" s="215">
        <v>0</v>
      </c>
      <c r="R57" s="215">
        <v>0</v>
      </c>
      <c r="S57" s="215">
        <v>0</v>
      </c>
    </row>
    <row r="58" spans="1:21">
      <c r="B58" s="107"/>
      <c r="G58" s="82" t="s">
        <v>253</v>
      </c>
    </row>
    <row r="59" spans="1:21">
      <c r="G59" s="102" t="s">
        <v>85</v>
      </c>
      <c r="H59" s="223">
        <f>H113</f>
        <v>0</v>
      </c>
      <c r="I59" s="223">
        <f t="shared" ref="I59:S59" si="14">I113</f>
        <v>0</v>
      </c>
      <c r="J59" s="223">
        <f t="shared" si="14"/>
        <v>0</v>
      </c>
      <c r="K59" s="223">
        <f t="shared" si="14"/>
        <v>0</v>
      </c>
      <c r="L59" s="223">
        <f t="shared" si="14"/>
        <v>0</v>
      </c>
      <c r="M59" s="223">
        <f t="shared" si="14"/>
        <v>0</v>
      </c>
      <c r="N59" s="223">
        <f t="shared" si="14"/>
        <v>0</v>
      </c>
      <c r="O59" s="223">
        <f t="shared" si="14"/>
        <v>0</v>
      </c>
      <c r="P59" s="223">
        <f t="shared" si="14"/>
        <v>0</v>
      </c>
      <c r="Q59" s="223">
        <f t="shared" si="14"/>
        <v>0</v>
      </c>
      <c r="R59" s="223">
        <f t="shared" si="14"/>
        <v>0</v>
      </c>
      <c r="S59" s="223">
        <f t="shared" si="14"/>
        <v>0</v>
      </c>
    </row>
    <row r="60" spans="1:21">
      <c r="G60" s="102" t="s">
        <v>86</v>
      </c>
      <c r="H60" s="223">
        <f>H118</f>
        <v>0</v>
      </c>
      <c r="I60" s="223">
        <f t="shared" ref="I60:S60" si="15">I118</f>
        <v>0</v>
      </c>
      <c r="J60" s="223">
        <f t="shared" si="15"/>
        <v>0</v>
      </c>
      <c r="K60" s="223">
        <f t="shared" si="15"/>
        <v>0</v>
      </c>
      <c r="L60" s="223">
        <f t="shared" si="15"/>
        <v>0</v>
      </c>
      <c r="M60" s="223">
        <f t="shared" si="15"/>
        <v>0</v>
      </c>
      <c r="N60" s="223">
        <f t="shared" si="15"/>
        <v>0</v>
      </c>
      <c r="O60" s="223">
        <f t="shared" si="15"/>
        <v>0</v>
      </c>
      <c r="P60" s="223">
        <f t="shared" si="15"/>
        <v>0</v>
      </c>
      <c r="Q60" s="223">
        <f t="shared" si="15"/>
        <v>0</v>
      </c>
      <c r="R60" s="223">
        <f t="shared" si="15"/>
        <v>0</v>
      </c>
      <c r="S60" s="223">
        <f t="shared" si="15"/>
        <v>0</v>
      </c>
    </row>
    <row r="61" spans="1:21">
      <c r="G61" s="102" t="s">
        <v>87</v>
      </c>
      <c r="H61" s="223">
        <f>H123</f>
        <v>0</v>
      </c>
      <c r="I61" s="223">
        <f t="shared" ref="I61:S61" si="16">I123</f>
        <v>0</v>
      </c>
      <c r="J61" s="223">
        <f t="shared" si="16"/>
        <v>0</v>
      </c>
      <c r="K61" s="223">
        <f t="shared" si="16"/>
        <v>0</v>
      </c>
      <c r="L61" s="223">
        <f t="shared" si="16"/>
        <v>0</v>
      </c>
      <c r="M61" s="223">
        <f t="shared" si="16"/>
        <v>0</v>
      </c>
      <c r="N61" s="223">
        <f t="shared" si="16"/>
        <v>0</v>
      </c>
      <c r="O61" s="223">
        <f t="shared" si="16"/>
        <v>0</v>
      </c>
      <c r="P61" s="223">
        <f t="shared" si="16"/>
        <v>0</v>
      </c>
      <c r="Q61" s="223">
        <f t="shared" si="16"/>
        <v>0</v>
      </c>
      <c r="R61" s="223">
        <f t="shared" si="16"/>
        <v>0</v>
      </c>
      <c r="S61" s="223">
        <f t="shared" si="16"/>
        <v>0</v>
      </c>
    </row>
    <row r="62" spans="1:21">
      <c r="G62" s="216" t="s">
        <v>298</v>
      </c>
    </row>
    <row r="63" spans="1:21" s="154" customFormat="1">
      <c r="G63" s="81"/>
      <c r="H63" s="81"/>
      <c r="I63" s="118"/>
      <c r="J63" s="118"/>
      <c r="K63" s="118"/>
      <c r="L63" s="118"/>
      <c r="M63" s="118"/>
      <c r="N63" s="118"/>
      <c r="O63" s="81"/>
    </row>
    <row r="64" spans="1:21" s="154" customFormat="1">
      <c r="G64" s="119"/>
      <c r="H64" s="326"/>
      <c r="I64" s="224"/>
      <c r="J64" s="224"/>
      <c r="K64" s="224"/>
      <c r="L64" s="224"/>
      <c r="M64" s="224"/>
      <c r="N64" s="224"/>
      <c r="O64" s="118"/>
    </row>
    <row r="65" spans="1:15" s="154" customFormat="1">
      <c r="G65" s="119"/>
      <c r="H65" s="326"/>
      <c r="I65" s="224"/>
      <c r="J65" s="224"/>
      <c r="K65" s="224"/>
      <c r="L65" s="224"/>
      <c r="M65" s="224"/>
      <c r="N65" s="224"/>
      <c r="O65" s="118"/>
    </row>
    <row r="66" spans="1:15" s="154" customFormat="1">
      <c r="G66" s="119"/>
      <c r="H66" s="326"/>
      <c r="I66" s="224"/>
      <c r="J66" s="224"/>
      <c r="K66" s="224"/>
      <c r="L66" s="224"/>
      <c r="M66" s="224"/>
      <c r="N66" s="224"/>
      <c r="O66" s="118"/>
    </row>
    <row r="67" spans="1:15" s="154" customFormat="1">
      <c r="G67" s="119"/>
      <c r="H67" s="326"/>
      <c r="I67" s="224"/>
      <c r="J67" s="224"/>
      <c r="K67" s="224"/>
      <c r="L67" s="224"/>
      <c r="M67" s="224"/>
      <c r="N67" s="224"/>
      <c r="O67" s="118"/>
    </row>
    <row r="68" spans="1:15" s="154" customFormat="1">
      <c r="G68" s="119"/>
      <c r="H68" s="326"/>
      <c r="I68" s="224"/>
      <c r="J68" s="224"/>
      <c r="K68" s="224"/>
      <c r="L68" s="224"/>
      <c r="M68" s="224"/>
      <c r="N68" s="224"/>
      <c r="O68" s="118"/>
    </row>
    <row r="69" spans="1:15" s="154" customFormat="1">
      <c r="G69" s="119"/>
      <c r="H69" s="326"/>
      <c r="I69" s="224"/>
      <c r="J69" s="224"/>
      <c r="K69" s="224"/>
      <c r="L69" s="224"/>
      <c r="M69" s="224"/>
      <c r="N69" s="224"/>
      <c r="O69" s="118"/>
    </row>
    <row r="70" spans="1:15" s="154" customFormat="1">
      <c r="G70" s="119"/>
      <c r="H70" s="195"/>
      <c r="I70" s="224"/>
      <c r="J70" s="224"/>
      <c r="K70" s="224"/>
      <c r="L70" s="224"/>
      <c r="M70" s="224"/>
      <c r="N70" s="224"/>
      <c r="O70" s="118"/>
    </row>
    <row r="71" spans="1:15" s="154" customFormat="1">
      <c r="G71" s="119"/>
      <c r="H71" s="195"/>
      <c r="I71" s="224"/>
      <c r="J71" s="224"/>
      <c r="K71" s="224"/>
      <c r="L71" s="224"/>
      <c r="M71" s="224"/>
      <c r="N71" s="224"/>
      <c r="O71" s="118"/>
    </row>
    <row r="72" spans="1:15" s="154" customFormat="1">
      <c r="G72" s="119"/>
      <c r="H72" s="195"/>
      <c r="I72" s="224"/>
      <c r="J72" s="224"/>
      <c r="K72" s="224"/>
      <c r="L72" s="224"/>
      <c r="M72" s="224"/>
      <c r="N72" s="224"/>
      <c r="O72" s="118"/>
    </row>
    <row r="73" spans="1:15" s="154" customFormat="1">
      <c r="G73" s="119"/>
      <c r="H73" s="195"/>
      <c r="I73" s="224"/>
      <c r="J73" s="224"/>
      <c r="K73" s="224"/>
      <c r="L73" s="224"/>
      <c r="M73" s="224"/>
      <c r="N73" s="224"/>
      <c r="O73" s="118"/>
    </row>
    <row r="74" spans="1:15" s="154" customFormat="1">
      <c r="G74" s="119"/>
      <c r="H74" s="195"/>
      <c r="I74" s="224"/>
      <c r="J74" s="224"/>
      <c r="K74" s="224"/>
      <c r="L74" s="224"/>
      <c r="M74" s="224"/>
      <c r="N74" s="224"/>
      <c r="O74" s="118"/>
    </row>
    <row r="75" spans="1:15" s="154" customFormat="1">
      <c r="G75" s="119"/>
      <c r="H75" s="195"/>
      <c r="I75" s="224"/>
      <c r="J75" s="224"/>
      <c r="K75" s="224"/>
      <c r="L75" s="224"/>
      <c r="M75" s="224"/>
      <c r="N75" s="224"/>
      <c r="O75" s="118"/>
    </row>
    <row r="76" spans="1:15" s="154" customFormat="1">
      <c r="G76" s="119"/>
      <c r="H76" s="195"/>
      <c r="I76" s="224"/>
      <c r="J76" s="224"/>
      <c r="K76" s="224"/>
      <c r="L76" s="224"/>
      <c r="M76" s="224"/>
      <c r="N76" s="224"/>
      <c r="O76" s="118"/>
    </row>
    <row r="77" spans="1:15" s="154" customFormat="1">
      <c r="G77" s="119"/>
      <c r="H77" s="195"/>
      <c r="I77" s="224"/>
      <c r="J77" s="224"/>
      <c r="K77" s="224"/>
      <c r="L77" s="224"/>
      <c r="M77" s="224"/>
      <c r="N77" s="224"/>
      <c r="O77" s="118"/>
    </row>
    <row r="78" spans="1:15" s="154" customFormat="1">
      <c r="G78" s="119"/>
      <c r="H78" s="195"/>
      <c r="I78" s="224"/>
      <c r="J78" s="224"/>
      <c r="K78" s="224"/>
      <c r="L78" s="224"/>
      <c r="M78" s="224"/>
      <c r="N78" s="224"/>
      <c r="O78" s="118"/>
    </row>
    <row r="79" spans="1:15" s="154" customFormat="1">
      <c r="G79" s="119"/>
      <c r="H79" s="195"/>
      <c r="I79" s="224"/>
      <c r="J79" s="224"/>
      <c r="K79" s="224"/>
      <c r="L79" s="224"/>
      <c r="M79" s="224"/>
      <c r="N79" s="224"/>
      <c r="O79" s="118"/>
    </row>
    <row r="80" spans="1:15" s="154" customFormat="1">
      <c r="A80" s="116"/>
      <c r="B80" s="211"/>
      <c r="G80" s="119"/>
      <c r="H80" s="195"/>
      <c r="I80" s="224"/>
      <c r="J80" s="224"/>
      <c r="K80" s="224"/>
      <c r="L80" s="224"/>
      <c r="M80" s="224"/>
      <c r="N80" s="224"/>
      <c r="O80" s="118"/>
    </row>
    <row r="81" spans="1:19" s="154" customFormat="1">
      <c r="A81" s="116"/>
      <c r="B81" s="211"/>
      <c r="G81" s="119"/>
      <c r="H81" s="195"/>
      <c r="I81" s="224"/>
      <c r="J81" s="224"/>
      <c r="K81" s="224"/>
      <c r="L81" s="224"/>
      <c r="M81" s="224"/>
      <c r="N81" s="224"/>
      <c r="O81" s="118"/>
    </row>
    <row r="82" spans="1:19" s="154" customFormat="1">
      <c r="A82" s="116"/>
      <c r="B82" s="211"/>
      <c r="G82" s="119"/>
      <c r="H82" s="195"/>
      <c r="I82" s="224"/>
      <c r="J82" s="224"/>
      <c r="K82" s="224"/>
      <c r="L82" s="224"/>
      <c r="M82" s="224"/>
      <c r="N82" s="224"/>
      <c r="O82" s="118"/>
    </row>
    <row r="83" spans="1:19" s="154" customFormat="1">
      <c r="A83" s="116"/>
      <c r="B83" s="211"/>
      <c r="G83" s="119"/>
      <c r="H83" s="195"/>
      <c r="I83" s="224"/>
      <c r="J83" s="224"/>
      <c r="K83" s="224"/>
      <c r="L83" s="224"/>
      <c r="M83" s="224"/>
      <c r="N83" s="224"/>
      <c r="O83" s="118"/>
    </row>
    <row r="84" spans="1:19" s="154" customFormat="1">
      <c r="A84" s="116"/>
      <c r="B84" s="211"/>
      <c r="G84" s="119"/>
      <c r="H84" s="195"/>
      <c r="I84" s="224"/>
      <c r="J84" s="224"/>
      <c r="K84" s="224"/>
      <c r="L84" s="224"/>
      <c r="M84" s="224"/>
      <c r="N84" s="224"/>
      <c r="O84" s="118"/>
    </row>
    <row r="85" spans="1:19" s="154" customFormat="1">
      <c r="A85" s="116"/>
      <c r="B85" s="211"/>
      <c r="G85" s="119"/>
      <c r="H85" s="195"/>
      <c r="I85" s="224"/>
      <c r="J85" s="224"/>
      <c r="K85" s="224"/>
      <c r="L85" s="224"/>
      <c r="M85" s="224"/>
      <c r="N85" s="224"/>
      <c r="O85" s="118"/>
    </row>
    <row r="86" spans="1:19" s="154" customFormat="1">
      <c r="A86" s="116"/>
      <c r="B86" s="211"/>
      <c r="G86" s="119"/>
      <c r="H86" s="195"/>
      <c r="I86" s="224"/>
      <c r="J86" s="224"/>
      <c r="K86" s="224"/>
      <c r="L86" s="224"/>
      <c r="M86" s="224"/>
      <c r="N86" s="224"/>
      <c r="O86" s="118"/>
    </row>
    <row r="87" spans="1:19" s="154" customFormat="1">
      <c r="A87" s="116"/>
      <c r="B87" s="211"/>
      <c r="G87" s="119"/>
      <c r="H87" s="195"/>
      <c r="I87" s="224"/>
      <c r="J87" s="224"/>
      <c r="K87" s="224"/>
      <c r="L87" s="224"/>
      <c r="M87" s="224"/>
      <c r="N87" s="224"/>
      <c r="O87" s="118"/>
    </row>
    <row r="88" spans="1:19" s="154" customFormat="1">
      <c r="A88" s="116"/>
      <c r="B88" s="211"/>
      <c r="G88" s="119"/>
      <c r="H88" s="195"/>
      <c r="I88" s="224"/>
      <c r="J88" s="224"/>
      <c r="K88" s="224"/>
      <c r="L88" s="224"/>
      <c r="M88" s="224"/>
      <c r="N88" s="224"/>
      <c r="O88" s="118"/>
    </row>
    <row r="89" spans="1:19" s="154" customFormat="1">
      <c r="A89" s="116"/>
      <c r="B89" s="211"/>
      <c r="G89" s="119"/>
      <c r="H89" s="195"/>
      <c r="I89" s="224"/>
      <c r="J89" s="224"/>
      <c r="K89" s="224"/>
      <c r="L89" s="224"/>
      <c r="M89" s="224"/>
      <c r="N89" s="224"/>
      <c r="O89" s="118"/>
    </row>
    <row r="90" spans="1:19" s="154" customFormat="1">
      <c r="A90" s="116"/>
      <c r="B90" s="211"/>
      <c r="G90" s="119"/>
      <c r="H90" s="195"/>
      <c r="I90" s="224"/>
      <c r="J90" s="224"/>
      <c r="K90" s="224"/>
      <c r="L90" s="224"/>
      <c r="M90" s="224"/>
      <c r="N90" s="224"/>
      <c r="O90" s="118"/>
    </row>
    <row r="91" spans="1:19" s="154" customFormat="1">
      <c r="A91" s="116"/>
      <c r="B91" s="211"/>
    </row>
    <row r="92" spans="1:19" s="154" customFormat="1">
      <c r="A92" s="116"/>
      <c r="B92" s="211"/>
    </row>
    <row r="93" spans="1:19">
      <c r="A93" s="116"/>
      <c r="B93" s="211"/>
      <c r="C93" s="154"/>
    </row>
    <row r="94" spans="1:19">
      <c r="A94" s="116"/>
      <c r="B94" s="211"/>
      <c r="C94" s="154"/>
      <c r="G94" s="225" t="s">
        <v>260</v>
      </c>
    </row>
    <row r="95" spans="1:19">
      <c r="A95" s="116"/>
      <c r="B95" s="211"/>
      <c r="C95" s="154"/>
      <c r="G95" s="213"/>
      <c r="H95" s="149" t="s">
        <v>261</v>
      </c>
    </row>
    <row r="96" spans="1:19">
      <c r="A96" s="116"/>
      <c r="B96" s="211"/>
      <c r="C96" s="154"/>
      <c r="G96" s="149" t="s">
        <v>259</v>
      </c>
      <c r="H96" s="81">
        <f t="shared" ref="H96:S96" si="17">H48/ABS(H33+0.000001)</f>
        <v>4.9999999500000004E-5</v>
      </c>
      <c r="I96" s="81">
        <f t="shared" si="17"/>
        <v>4.9999999500000004E-5</v>
      </c>
      <c r="J96" s="81">
        <f t="shared" si="17"/>
        <v>5.0000000500000007E-5</v>
      </c>
      <c r="K96" s="81">
        <f t="shared" si="17"/>
        <v>5.0000000500000007E-5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16"/>
      <c r="B97" s="211"/>
      <c r="C97" s="154"/>
      <c r="G97" s="149" t="s">
        <v>259</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16"/>
      <c r="B98" s="211"/>
      <c r="C98" s="154"/>
      <c r="G98" s="81" t="s">
        <v>257</v>
      </c>
      <c r="H98" s="226">
        <f>IF(MIN(H96,H97)&gt;1,0,MIN(H96,H97))</f>
        <v>4.9999999500000004E-5</v>
      </c>
      <c r="I98" s="226">
        <f t="shared" ref="I98:S98" si="19">IF(MIN(I96,I97)&gt;1,0,MIN(I96,I97))</f>
        <v>4.9999999500000004E-5</v>
      </c>
      <c r="J98" s="226">
        <f t="shared" si="19"/>
        <v>5.0000000500000007E-5</v>
      </c>
      <c r="K98" s="226">
        <f t="shared" si="19"/>
        <v>5.0000000500000007E-5</v>
      </c>
      <c r="L98" s="226">
        <f t="shared" si="19"/>
        <v>0</v>
      </c>
      <c r="M98" s="226">
        <f t="shared" si="19"/>
        <v>0</v>
      </c>
      <c r="N98" s="226">
        <f t="shared" si="19"/>
        <v>0</v>
      </c>
      <c r="O98" s="226">
        <f t="shared" si="19"/>
        <v>0</v>
      </c>
      <c r="P98" s="226">
        <f t="shared" si="19"/>
        <v>0</v>
      </c>
      <c r="Q98" s="226">
        <f t="shared" si="19"/>
        <v>0</v>
      </c>
      <c r="R98" s="226">
        <f t="shared" si="19"/>
        <v>0</v>
      </c>
      <c r="S98" s="226">
        <f t="shared" si="19"/>
        <v>0</v>
      </c>
    </row>
    <row r="99" spans="1:19">
      <c r="A99" s="116"/>
      <c r="B99" s="211"/>
      <c r="C99" s="154"/>
      <c r="H99" s="149" t="s">
        <v>262</v>
      </c>
      <c r="I99" s="149"/>
      <c r="J99" s="149"/>
      <c r="K99" s="149"/>
      <c r="L99" s="149"/>
      <c r="M99" s="149"/>
      <c r="N99" s="149"/>
      <c r="O99" s="149"/>
      <c r="P99" s="149"/>
      <c r="Q99" s="149"/>
      <c r="R99" s="149"/>
      <c r="S99" s="149"/>
    </row>
    <row r="100" spans="1:19">
      <c r="A100" s="116"/>
      <c r="B100" s="211"/>
      <c r="C100" s="154"/>
      <c r="G100" s="115" t="s">
        <v>259</v>
      </c>
      <c r="H100" s="154">
        <f t="shared" ref="H100:S100" si="20">H49/ABS(H31+0.000001)</f>
        <v>4.9999999500000004E-5</v>
      </c>
      <c r="I100" s="154">
        <f t="shared" si="20"/>
        <v>5.0000000500000007E-5</v>
      </c>
      <c r="J100" s="154">
        <f t="shared" si="20"/>
        <v>5.0000000500000007E-5</v>
      </c>
      <c r="K100" s="154">
        <f t="shared" si="20"/>
        <v>4.9999999500000004E-5</v>
      </c>
      <c r="L100" s="154">
        <f t="shared" si="20"/>
        <v>0</v>
      </c>
      <c r="M100" s="154">
        <f t="shared" si="20"/>
        <v>0</v>
      </c>
      <c r="N100" s="154">
        <f t="shared" si="20"/>
        <v>0</v>
      </c>
      <c r="O100" s="154">
        <f t="shared" si="20"/>
        <v>0</v>
      </c>
      <c r="P100" s="154">
        <f t="shared" si="20"/>
        <v>0</v>
      </c>
      <c r="Q100" s="154">
        <f t="shared" si="20"/>
        <v>0</v>
      </c>
      <c r="R100" s="154">
        <f t="shared" si="20"/>
        <v>0</v>
      </c>
      <c r="S100" s="154">
        <f t="shared" si="20"/>
        <v>0</v>
      </c>
    </row>
    <row r="101" spans="1:19">
      <c r="A101" s="116"/>
      <c r="B101" s="211"/>
      <c r="C101" s="154"/>
      <c r="G101" s="115" t="s">
        <v>259</v>
      </c>
      <c r="H101" s="227">
        <f t="shared" ref="H101:S101" si="21">H47/ABS(H33+0.000001)</f>
        <v>4.9999999500000004E-5</v>
      </c>
      <c r="I101" s="227">
        <f t="shared" si="21"/>
        <v>4.9999999500000004E-5</v>
      </c>
      <c r="J101" s="227">
        <f t="shared" si="21"/>
        <v>5.0000000500000007E-5</v>
      </c>
      <c r="K101" s="227">
        <f t="shared" si="21"/>
        <v>5.0000000500000007E-5</v>
      </c>
      <c r="L101" s="227">
        <f t="shared" si="21"/>
        <v>0</v>
      </c>
      <c r="M101" s="227">
        <f t="shared" si="21"/>
        <v>0</v>
      </c>
      <c r="N101" s="227">
        <f t="shared" si="21"/>
        <v>0</v>
      </c>
      <c r="O101" s="227">
        <f t="shared" si="21"/>
        <v>0</v>
      </c>
      <c r="P101" s="227">
        <f t="shared" si="21"/>
        <v>0</v>
      </c>
      <c r="Q101" s="227">
        <f t="shared" si="21"/>
        <v>0</v>
      </c>
      <c r="R101" s="227">
        <f t="shared" si="21"/>
        <v>0</v>
      </c>
      <c r="S101" s="227">
        <f t="shared" si="21"/>
        <v>0</v>
      </c>
    </row>
    <row r="102" spans="1:19">
      <c r="A102" s="116"/>
      <c r="B102" s="211"/>
      <c r="C102" s="154"/>
      <c r="G102" s="81" t="s">
        <v>257</v>
      </c>
      <c r="H102" s="226">
        <f>IF(MIN(H100,H101)&gt;1,0,MIN(H100,H101))</f>
        <v>4.9999999500000004E-5</v>
      </c>
      <c r="I102" s="226">
        <f t="shared" ref="I102:S102" si="22">IF(MIN(I100,I101)&gt;1,0,MIN(I100,I101))</f>
        <v>4.9999999500000004E-5</v>
      </c>
      <c r="J102" s="226">
        <f t="shared" si="22"/>
        <v>5.0000000500000007E-5</v>
      </c>
      <c r="K102" s="226">
        <f t="shared" si="22"/>
        <v>4.9999999500000004E-5</v>
      </c>
      <c r="L102" s="226">
        <f t="shared" si="22"/>
        <v>0</v>
      </c>
      <c r="M102" s="226">
        <f t="shared" si="22"/>
        <v>0</v>
      </c>
      <c r="N102" s="226">
        <f t="shared" si="22"/>
        <v>0</v>
      </c>
      <c r="O102" s="226">
        <f t="shared" si="22"/>
        <v>0</v>
      </c>
      <c r="P102" s="226">
        <f t="shared" si="22"/>
        <v>0</v>
      </c>
      <c r="Q102" s="226">
        <f t="shared" si="22"/>
        <v>0</v>
      </c>
      <c r="R102" s="226">
        <f t="shared" si="22"/>
        <v>0</v>
      </c>
      <c r="S102" s="226">
        <f t="shared" si="22"/>
        <v>0</v>
      </c>
    </row>
    <row r="103" spans="1:19">
      <c r="A103" s="116"/>
      <c r="B103" s="211"/>
      <c r="C103" s="154"/>
      <c r="H103" s="81" t="s">
        <v>263</v>
      </c>
    </row>
    <row r="104" spans="1:19">
      <c r="A104" s="116"/>
      <c r="B104" s="211"/>
      <c r="C104" s="154"/>
      <c r="G104" s="149" t="s">
        <v>259</v>
      </c>
      <c r="H104" s="81">
        <f t="shared" ref="H104:S104" si="23">H48/ABS(H31+0.000001)</f>
        <v>4.9999999500000004E-5</v>
      </c>
      <c r="I104" s="81">
        <f t="shared" si="23"/>
        <v>5.0000000500000007E-5</v>
      </c>
      <c r="J104" s="81">
        <f t="shared" si="23"/>
        <v>5.0000000500000007E-5</v>
      </c>
      <c r="K104" s="81">
        <f t="shared" si="23"/>
        <v>4.9999999500000004E-5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16"/>
      <c r="B105" s="211"/>
      <c r="C105" s="154"/>
      <c r="G105" s="149" t="s">
        <v>259</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16"/>
      <c r="B106" s="211"/>
      <c r="C106" s="154"/>
      <c r="G106" s="81" t="s">
        <v>257</v>
      </c>
      <c r="H106" s="226">
        <f>IF(MIN(H104,H105)&gt;1,0,MIN(H104,H105))</f>
        <v>4.9999999500000004E-5</v>
      </c>
      <c r="I106" s="226">
        <f t="shared" ref="I106:S106" si="25">IF(MIN(I104,I105)&gt;1,0,MIN(I104,I105))</f>
        <v>5.0000000500000007E-5</v>
      </c>
      <c r="J106" s="226">
        <f t="shared" si="25"/>
        <v>5.0000000500000007E-5</v>
      </c>
      <c r="K106" s="226">
        <f t="shared" si="25"/>
        <v>4.9999999500000004E-5</v>
      </c>
      <c r="L106" s="226">
        <f t="shared" si="25"/>
        <v>0</v>
      </c>
      <c r="M106" s="226">
        <f t="shared" si="25"/>
        <v>0</v>
      </c>
      <c r="N106" s="226">
        <f t="shared" si="25"/>
        <v>0</v>
      </c>
      <c r="O106" s="226">
        <f t="shared" si="25"/>
        <v>0</v>
      </c>
      <c r="P106" s="226">
        <f t="shared" si="25"/>
        <v>0</v>
      </c>
      <c r="Q106" s="226">
        <f t="shared" si="25"/>
        <v>0</v>
      </c>
      <c r="R106" s="226">
        <f t="shared" si="25"/>
        <v>0</v>
      </c>
      <c r="S106" s="226">
        <f t="shared" si="25"/>
        <v>0</v>
      </c>
    </row>
    <row r="107" spans="1:19">
      <c r="A107" s="116"/>
      <c r="B107" s="211"/>
      <c r="C107" s="154"/>
    </row>
    <row r="108" spans="1:19">
      <c r="A108" s="116"/>
      <c r="B108" s="211"/>
      <c r="C108" s="154"/>
      <c r="G108" s="225" t="s">
        <v>308</v>
      </c>
      <c r="H108" s="225"/>
      <c r="I108" s="225"/>
      <c r="J108" s="225"/>
      <c r="K108" s="225"/>
      <c r="L108" s="225"/>
      <c r="M108" s="225"/>
      <c r="N108" s="225"/>
      <c r="O108" s="225"/>
      <c r="P108" s="225"/>
    </row>
    <row r="109" spans="1:19">
      <c r="A109" s="116"/>
      <c r="B109" s="211"/>
      <c r="C109" s="154"/>
      <c r="H109" s="102" t="s">
        <v>254</v>
      </c>
      <c r="I109" s="102"/>
      <c r="J109" s="102"/>
      <c r="K109" s="102"/>
      <c r="L109" s="102"/>
      <c r="M109" s="102"/>
      <c r="N109" s="102"/>
      <c r="O109" s="102"/>
      <c r="P109" s="102"/>
      <c r="Q109" s="102"/>
      <c r="R109" s="102"/>
      <c r="S109" s="102"/>
    </row>
    <row r="110" spans="1:19">
      <c r="G110" s="149" t="s">
        <v>259</v>
      </c>
      <c r="H110" s="226">
        <f t="shared" ref="H110:S110" si="26">H56/(H33+0.000001)</f>
        <v>0</v>
      </c>
      <c r="I110" s="226">
        <f t="shared" si="26"/>
        <v>0</v>
      </c>
      <c r="J110" s="226">
        <f t="shared" si="26"/>
        <v>0</v>
      </c>
      <c r="K110" s="226">
        <f t="shared" si="26"/>
        <v>0</v>
      </c>
      <c r="L110" s="226">
        <f t="shared" si="26"/>
        <v>0</v>
      </c>
      <c r="M110" s="226">
        <f t="shared" si="26"/>
        <v>0</v>
      </c>
      <c r="N110" s="226">
        <f t="shared" si="26"/>
        <v>0</v>
      </c>
      <c r="O110" s="226">
        <f t="shared" si="26"/>
        <v>0</v>
      </c>
      <c r="P110" s="226">
        <f t="shared" si="26"/>
        <v>0</v>
      </c>
      <c r="Q110" s="226">
        <f t="shared" si="26"/>
        <v>0</v>
      </c>
      <c r="R110" s="226">
        <f t="shared" si="26"/>
        <v>0</v>
      </c>
      <c r="S110" s="226">
        <f t="shared" si="26"/>
        <v>0</v>
      </c>
    </row>
    <row r="111" spans="1:19">
      <c r="G111" s="149" t="s">
        <v>259</v>
      </c>
      <c r="H111" s="228">
        <f t="shared" ref="H111:S111" si="27">H57/(H32+0.000001)</f>
        <v>0</v>
      </c>
      <c r="I111" s="228">
        <f t="shared" si="27"/>
        <v>0</v>
      </c>
      <c r="J111" s="228">
        <f t="shared" si="27"/>
        <v>0</v>
      </c>
      <c r="K111" s="228">
        <f t="shared" si="27"/>
        <v>0</v>
      </c>
      <c r="L111" s="228">
        <f t="shared" si="27"/>
        <v>0</v>
      </c>
      <c r="M111" s="228">
        <f t="shared" si="27"/>
        <v>0</v>
      </c>
      <c r="N111" s="228">
        <f t="shared" si="27"/>
        <v>0</v>
      </c>
      <c r="O111" s="228">
        <f t="shared" si="27"/>
        <v>0</v>
      </c>
      <c r="P111" s="228">
        <f t="shared" si="27"/>
        <v>0</v>
      </c>
      <c r="Q111" s="228">
        <f t="shared" si="27"/>
        <v>0</v>
      </c>
      <c r="R111" s="228">
        <f t="shared" si="27"/>
        <v>0</v>
      </c>
      <c r="S111" s="228">
        <f t="shared" si="27"/>
        <v>0</v>
      </c>
    </row>
    <row r="112" spans="1:19">
      <c r="G112" s="81" t="s">
        <v>258</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257</v>
      </c>
      <c r="H113" s="226">
        <f>IF(H112*MIN(ABS(H110),ABS(H111))&gt;1,0,H112*MIN(ABS(H110),ABS(H111)))</f>
        <v>0</v>
      </c>
      <c r="I113" s="226">
        <f t="shared" ref="I113:S113" si="29">IF(I112*MIN(ABS(I110),ABS(I111))&gt;1,0,I112*MIN(ABS(I110),ABS(I111)))</f>
        <v>0</v>
      </c>
      <c r="J113" s="226">
        <f t="shared" si="29"/>
        <v>0</v>
      </c>
      <c r="K113" s="226">
        <f t="shared" si="29"/>
        <v>0</v>
      </c>
      <c r="L113" s="226">
        <f t="shared" si="29"/>
        <v>0</v>
      </c>
      <c r="M113" s="226">
        <f t="shared" si="29"/>
        <v>0</v>
      </c>
      <c r="N113" s="226">
        <f t="shared" si="29"/>
        <v>0</v>
      </c>
      <c r="O113" s="226">
        <f t="shared" si="29"/>
        <v>0</v>
      </c>
      <c r="P113" s="226">
        <f t="shared" si="29"/>
        <v>0</v>
      </c>
      <c r="Q113" s="226">
        <f t="shared" si="29"/>
        <v>0</v>
      </c>
      <c r="R113" s="226">
        <f t="shared" si="29"/>
        <v>0</v>
      </c>
      <c r="S113" s="226">
        <f t="shared" si="29"/>
        <v>0</v>
      </c>
    </row>
    <row r="114" spans="7:19">
      <c r="H114" s="102" t="s">
        <v>255</v>
      </c>
      <c r="I114" s="102"/>
      <c r="J114" s="102"/>
      <c r="K114" s="102"/>
      <c r="L114" s="102"/>
      <c r="M114" s="102"/>
      <c r="N114" s="102"/>
      <c r="O114" s="102"/>
      <c r="P114" s="102"/>
      <c r="Q114" s="102"/>
      <c r="R114" s="102"/>
      <c r="S114" s="102"/>
    </row>
    <row r="115" spans="7:19">
      <c r="G115" s="115" t="s">
        <v>259</v>
      </c>
      <c r="H115" s="154">
        <f t="shared" ref="H115:S115" si="30">-H57/(H31+0.000001)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c r="G116" s="115" t="s">
        <v>259</v>
      </c>
      <c r="H116" s="154">
        <f t="shared" ref="H116:S116" si="31">H55/(H33+0.000001)</f>
        <v>0</v>
      </c>
      <c r="I116" s="154">
        <f t="shared" si="31"/>
        <v>0</v>
      </c>
      <c r="J116" s="154">
        <f t="shared" si="31"/>
        <v>0</v>
      </c>
      <c r="K116" s="154">
        <f t="shared" si="31"/>
        <v>0</v>
      </c>
      <c r="L116" s="154">
        <f t="shared" si="31"/>
        <v>0</v>
      </c>
      <c r="M116" s="154">
        <f t="shared" si="31"/>
        <v>0</v>
      </c>
      <c r="N116" s="154">
        <f t="shared" si="31"/>
        <v>0</v>
      </c>
      <c r="O116" s="154">
        <f t="shared" si="31"/>
        <v>0</v>
      </c>
      <c r="P116" s="154">
        <f t="shared" si="31"/>
        <v>0</v>
      </c>
      <c r="Q116" s="154">
        <f t="shared" si="31"/>
        <v>0</v>
      </c>
      <c r="R116" s="154">
        <f t="shared" si="31"/>
        <v>0</v>
      </c>
      <c r="S116" s="154">
        <f t="shared" si="31"/>
        <v>0</v>
      </c>
    </row>
    <row r="117" spans="7:19">
      <c r="G117" s="154" t="s">
        <v>258</v>
      </c>
      <c r="H117" s="229">
        <f>SIGN(H115+0.000000000001)*SIGN(H116+0.000000000001)</f>
        <v>1</v>
      </c>
      <c r="I117" s="229">
        <f t="shared" ref="I117:S117" si="32">SIGN(I115+0.000000000001)*SIGN(I116+0.000000000001)</f>
        <v>1</v>
      </c>
      <c r="J117" s="229">
        <f t="shared" si="32"/>
        <v>1</v>
      </c>
      <c r="K117" s="229">
        <f t="shared" si="32"/>
        <v>1</v>
      </c>
      <c r="L117" s="229">
        <f t="shared" si="32"/>
        <v>1</v>
      </c>
      <c r="M117" s="229">
        <f t="shared" si="32"/>
        <v>1</v>
      </c>
      <c r="N117" s="229">
        <f t="shared" si="32"/>
        <v>1</v>
      </c>
      <c r="O117" s="229">
        <f t="shared" si="32"/>
        <v>1</v>
      </c>
      <c r="P117" s="229">
        <f t="shared" si="32"/>
        <v>1</v>
      </c>
      <c r="Q117" s="229">
        <f t="shared" si="32"/>
        <v>1</v>
      </c>
      <c r="R117" s="229">
        <f t="shared" si="32"/>
        <v>1</v>
      </c>
      <c r="S117" s="229">
        <f t="shared" si="32"/>
        <v>1</v>
      </c>
    </row>
    <row r="118" spans="7:19">
      <c r="G118" s="154" t="s">
        <v>257</v>
      </c>
      <c r="H118" s="230">
        <f>IF(H117*MIN(ABS(H115),ABS(H116))&gt;1,0,H117*MIN(ABS(H115),ABS(H116)))</f>
        <v>0</v>
      </c>
      <c r="I118" s="230">
        <f t="shared" ref="I118:S118" si="33">IF(I117*MIN(ABS(I115),ABS(I116))&gt;1,0,I117*MIN(ABS(I115),ABS(I116)))</f>
        <v>0</v>
      </c>
      <c r="J118" s="230">
        <f t="shared" si="33"/>
        <v>0</v>
      </c>
      <c r="K118" s="230">
        <f t="shared" si="33"/>
        <v>0</v>
      </c>
      <c r="L118" s="230">
        <f t="shared" si="33"/>
        <v>0</v>
      </c>
      <c r="M118" s="230">
        <f t="shared" si="33"/>
        <v>0</v>
      </c>
      <c r="N118" s="230">
        <f t="shared" si="33"/>
        <v>0</v>
      </c>
      <c r="O118" s="230">
        <f t="shared" si="33"/>
        <v>0</v>
      </c>
      <c r="P118" s="230">
        <f t="shared" si="33"/>
        <v>0</v>
      </c>
      <c r="Q118" s="230">
        <f t="shared" si="33"/>
        <v>0</v>
      </c>
      <c r="R118" s="230">
        <f t="shared" si="33"/>
        <v>0</v>
      </c>
      <c r="S118" s="230">
        <f t="shared" si="33"/>
        <v>0</v>
      </c>
    </row>
    <row r="119" spans="7:19">
      <c r="H119" s="102" t="s">
        <v>256</v>
      </c>
      <c r="I119" s="102"/>
      <c r="J119" s="102"/>
      <c r="K119" s="102"/>
      <c r="L119" s="102"/>
      <c r="M119" s="102"/>
      <c r="N119" s="102"/>
      <c r="O119" s="102"/>
      <c r="P119" s="102"/>
      <c r="Q119" s="102"/>
      <c r="R119" s="102"/>
      <c r="S119" s="102"/>
    </row>
    <row r="120" spans="7:19">
      <c r="G120" s="149" t="s">
        <v>259</v>
      </c>
      <c r="H120" s="226">
        <f t="shared" ref="H120:S120" si="34">H56/(H31+0.000001)</f>
        <v>0</v>
      </c>
      <c r="I120" s="226">
        <f t="shared" si="34"/>
        <v>0</v>
      </c>
      <c r="J120" s="226">
        <f t="shared" si="34"/>
        <v>0</v>
      </c>
      <c r="K120" s="226">
        <f t="shared" si="34"/>
        <v>0</v>
      </c>
      <c r="L120" s="226">
        <f t="shared" si="34"/>
        <v>0</v>
      </c>
      <c r="M120" s="226">
        <f t="shared" si="34"/>
        <v>0</v>
      </c>
      <c r="N120" s="226">
        <f t="shared" si="34"/>
        <v>0</v>
      </c>
      <c r="O120" s="226">
        <f t="shared" si="34"/>
        <v>0</v>
      </c>
      <c r="P120" s="226">
        <f t="shared" si="34"/>
        <v>0</v>
      </c>
      <c r="Q120" s="226">
        <f t="shared" si="34"/>
        <v>0</v>
      </c>
      <c r="R120" s="226">
        <f t="shared" si="34"/>
        <v>0</v>
      </c>
      <c r="S120" s="226">
        <f t="shared" si="34"/>
        <v>0</v>
      </c>
    </row>
    <row r="121" spans="7:19">
      <c r="G121" s="149" t="s">
        <v>259</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258</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257</v>
      </c>
      <c r="H123" s="226">
        <f>IF(H122*MIN(ABS(H120),ABS(H121))&gt;1,0,H122*MIN(ABS(H120),ABS(H121)))</f>
        <v>0</v>
      </c>
      <c r="I123" s="226">
        <f t="shared" ref="I123:S123" si="37">IF(I122*MIN(ABS(I120),ABS(I121))&gt;1,0,I122*MIN(ABS(I120),ABS(I121)))</f>
        <v>0</v>
      </c>
      <c r="J123" s="226">
        <f t="shared" si="37"/>
        <v>0</v>
      </c>
      <c r="K123" s="226">
        <f t="shared" si="37"/>
        <v>0</v>
      </c>
      <c r="L123" s="226">
        <f t="shared" si="37"/>
        <v>0</v>
      </c>
      <c r="M123" s="226">
        <f t="shared" si="37"/>
        <v>0</v>
      </c>
      <c r="N123" s="226">
        <f t="shared" si="37"/>
        <v>0</v>
      </c>
      <c r="O123" s="226">
        <f t="shared" si="37"/>
        <v>0</v>
      </c>
      <c r="P123" s="226">
        <f t="shared" si="37"/>
        <v>0</v>
      </c>
      <c r="Q123" s="226">
        <f t="shared" si="37"/>
        <v>0</v>
      </c>
      <c r="R123" s="226">
        <f t="shared" si="37"/>
        <v>0</v>
      </c>
      <c r="S123" s="226">
        <f t="shared" si="37"/>
        <v>0</v>
      </c>
    </row>
    <row r="124" spans="7:19">
      <c r="G124" s="149"/>
    </row>
    <row r="125" spans="7:19">
      <c r="H125" s="144"/>
      <c r="I125" s="144"/>
      <c r="J125" s="144"/>
      <c r="K125" s="144"/>
      <c r="L125" s="144"/>
      <c r="M125" s="144"/>
      <c r="N125" s="144"/>
      <c r="O125" s="144"/>
      <c r="P125" s="144"/>
      <c r="Q125" s="144"/>
      <c r="R125" s="144"/>
      <c r="S125" s="144"/>
    </row>
    <row r="126" spans="7:19">
      <c r="H126" s="226"/>
      <c r="I126" s="226"/>
      <c r="J126" s="226"/>
      <c r="K126" s="226"/>
      <c r="L126" s="226"/>
      <c r="M126" s="226"/>
      <c r="N126" s="226"/>
      <c r="O126" s="226"/>
      <c r="P126" s="226"/>
      <c r="Q126" s="226"/>
      <c r="R126" s="226"/>
      <c r="S126" s="226"/>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C26" sqref="C26"/>
    </sheetView>
  </sheetViews>
  <sheetFormatPr baseColWidth="10" defaultColWidth="11" defaultRowHeight="15" x14ac:dyDescent="0"/>
  <cols>
    <col min="1" max="1" width="45.33203125" style="81" customWidth="1"/>
    <col min="2" max="2" width="20.5" style="81" customWidth="1"/>
    <col min="3" max="3" width="40" style="81" customWidth="1"/>
    <col min="4" max="4" width="12" style="81" customWidth="1"/>
    <col min="5" max="6" width="7.1640625" style="81" customWidth="1"/>
    <col min="7" max="7" width="16.33203125" style="81" customWidth="1"/>
    <col min="8" max="8" width="13.5" style="81" customWidth="1"/>
    <col min="9" max="11" width="11" style="81"/>
    <col min="12" max="12" width="16.1640625" style="81" customWidth="1"/>
    <col min="13" max="16384" width="11" style="81"/>
  </cols>
  <sheetData>
    <row r="1" spans="1:18">
      <c r="A1" s="207" t="str">
        <f>'CSs and Loads'!A111</f>
        <v>CS 4</v>
      </c>
      <c r="B1" s="207" t="str">
        <f>'CSs and Loads'!A121</f>
        <v>Y-axis</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149"/>
      <c r="R3" s="211"/>
    </row>
    <row r="4" spans="1:18">
      <c r="A4" s="82" t="s">
        <v>321</v>
      </c>
      <c r="B4" s="177" t="s">
        <v>9</v>
      </c>
      <c r="C4" s="82" t="s">
        <v>376</v>
      </c>
      <c r="D4" s="169"/>
      <c r="E4" s="360" t="s">
        <v>377</v>
      </c>
      <c r="F4" s="361"/>
      <c r="G4" s="361"/>
      <c r="H4" s="361"/>
      <c r="I4" s="361"/>
      <c r="J4" s="361"/>
      <c r="K4" s="361"/>
      <c r="L4" s="361"/>
      <c r="M4" s="362"/>
      <c r="N4" s="181"/>
      <c r="O4" s="149"/>
      <c r="R4" s="211"/>
    </row>
    <row r="5" spans="1:18">
      <c r="A5" s="114" t="s">
        <v>341</v>
      </c>
      <c r="B5" s="118" t="s">
        <v>349</v>
      </c>
      <c r="C5" s="102" t="s">
        <v>374</v>
      </c>
      <c r="D5" s="169">
        <v>25</v>
      </c>
      <c r="E5" s="182" t="s">
        <v>282</v>
      </c>
      <c r="F5" s="326" t="s">
        <v>285</v>
      </c>
      <c r="G5" s="147">
        <v>0</v>
      </c>
      <c r="H5" s="147">
        <v>0</v>
      </c>
      <c r="I5" s="147">
        <v>0</v>
      </c>
      <c r="J5" s="147">
        <v>0</v>
      </c>
      <c r="K5" s="147">
        <v>0</v>
      </c>
      <c r="L5" s="147">
        <v>0</v>
      </c>
      <c r="M5" s="183" t="s">
        <v>276</v>
      </c>
      <c r="N5" s="181"/>
      <c r="R5" s="211"/>
    </row>
    <row r="6" spans="1:18">
      <c r="A6" s="114" t="s">
        <v>344</v>
      </c>
      <c r="B6" s="82"/>
      <c r="C6" s="102" t="s">
        <v>32</v>
      </c>
      <c r="D6" s="169">
        <f>1770*9.8</f>
        <v>17346</v>
      </c>
      <c r="E6" s="182" t="s">
        <v>283</v>
      </c>
      <c r="F6" s="326"/>
      <c r="G6" s="147">
        <v>0</v>
      </c>
      <c r="H6" s="147">
        <v>0</v>
      </c>
      <c r="I6" s="147">
        <v>0</v>
      </c>
      <c r="J6" s="147">
        <v>0</v>
      </c>
      <c r="K6" s="147">
        <v>0</v>
      </c>
      <c r="L6" s="147">
        <v>0</v>
      </c>
      <c r="M6" s="183" t="s">
        <v>277</v>
      </c>
      <c r="N6" s="181"/>
      <c r="R6" s="211"/>
    </row>
    <row r="7" spans="1:18">
      <c r="A7" s="102" t="s">
        <v>291</v>
      </c>
      <c r="B7" s="82"/>
      <c r="C7" s="102" t="s">
        <v>243</v>
      </c>
      <c r="D7" s="169">
        <f>647*1000</f>
        <v>647000</v>
      </c>
      <c r="E7" s="182" t="s">
        <v>284</v>
      </c>
      <c r="F7" s="326"/>
      <c r="G7" s="147">
        <v>0</v>
      </c>
      <c r="H7" s="147">
        <v>0</v>
      </c>
      <c r="I7" s="147">
        <v>0</v>
      </c>
      <c r="J7" s="147">
        <v>0</v>
      </c>
      <c r="K7" s="147">
        <v>0</v>
      </c>
      <c r="L7" s="147">
        <v>0</v>
      </c>
      <c r="M7" s="183" t="s">
        <v>278</v>
      </c>
      <c r="N7" s="181"/>
      <c r="R7" s="211"/>
    </row>
    <row r="8" spans="1:18">
      <c r="A8" s="102" t="s">
        <v>287</v>
      </c>
      <c r="B8" s="82"/>
      <c r="C8" s="102" t="s">
        <v>33</v>
      </c>
      <c r="D8" s="169">
        <v>3</v>
      </c>
      <c r="E8" s="182" t="s">
        <v>273</v>
      </c>
      <c r="F8" s="326"/>
      <c r="G8" s="147">
        <v>0</v>
      </c>
      <c r="H8" s="147">
        <v>0</v>
      </c>
      <c r="I8" s="147">
        <v>0</v>
      </c>
      <c r="J8" s="147">
        <v>0</v>
      </c>
      <c r="K8" s="147">
        <v>0</v>
      </c>
      <c r="L8" s="147">
        <v>0</v>
      </c>
      <c r="M8" s="183" t="s">
        <v>279</v>
      </c>
      <c r="N8" s="181"/>
      <c r="R8" s="211"/>
    </row>
    <row r="9" spans="1:18">
      <c r="A9" s="102" t="s">
        <v>292</v>
      </c>
      <c r="B9" s="82"/>
      <c r="C9" s="102" t="s">
        <v>34</v>
      </c>
      <c r="D9" s="169">
        <v>0.01</v>
      </c>
      <c r="E9" s="182" t="s">
        <v>275</v>
      </c>
      <c r="F9" s="326"/>
      <c r="G9" s="147">
        <v>0</v>
      </c>
      <c r="H9" s="147">
        <v>0</v>
      </c>
      <c r="I9" s="147">
        <v>0</v>
      </c>
      <c r="J9" s="147">
        <v>0</v>
      </c>
      <c r="K9" s="147">
        <v>0</v>
      </c>
      <c r="L9" s="147">
        <v>0</v>
      </c>
      <c r="M9" s="183" t="s">
        <v>280</v>
      </c>
      <c r="N9" s="181"/>
      <c r="R9" s="211"/>
    </row>
    <row r="10" spans="1:18" ht="16" thickBot="1">
      <c r="A10" s="213" t="s">
        <v>346</v>
      </c>
      <c r="B10" s="82"/>
      <c r="C10" s="102" t="s">
        <v>288</v>
      </c>
      <c r="D10" s="239">
        <f>D6/(D8*D9)</f>
        <v>578200</v>
      </c>
      <c r="E10" s="184" t="s">
        <v>274</v>
      </c>
      <c r="F10" s="359"/>
      <c r="G10" s="188">
        <v>0</v>
      </c>
      <c r="H10" s="188">
        <v>0</v>
      </c>
      <c r="I10" s="188">
        <v>0</v>
      </c>
      <c r="J10" s="188">
        <v>0</v>
      </c>
      <c r="K10" s="188">
        <v>0</v>
      </c>
      <c r="L10" s="188">
        <v>0</v>
      </c>
      <c r="M10" s="187" t="s">
        <v>281</v>
      </c>
      <c r="N10" s="181"/>
      <c r="R10" s="211"/>
    </row>
    <row r="11" spans="1:18">
      <c r="A11" s="149" t="s">
        <v>351</v>
      </c>
      <c r="B11" s="213"/>
      <c r="C11" s="102" t="s">
        <v>35</v>
      </c>
      <c r="D11" s="82">
        <v>25</v>
      </c>
      <c r="E11" s="163"/>
      <c r="F11" s="163"/>
      <c r="G11" s="163"/>
      <c r="H11" s="163"/>
      <c r="I11" s="163"/>
      <c r="J11" s="163"/>
      <c r="K11" s="163"/>
      <c r="L11" s="163"/>
      <c r="M11" s="163"/>
      <c r="R11" s="211"/>
    </row>
    <row r="12" spans="1:18">
      <c r="A12" s="102" t="s">
        <v>234</v>
      </c>
      <c r="B12" s="82"/>
      <c r="C12" s="102" t="s">
        <v>386</v>
      </c>
      <c r="D12" s="101">
        <f>D7*D11^2/4</f>
        <v>101093750</v>
      </c>
      <c r="I12" s="82"/>
      <c r="O12" s="149"/>
      <c r="R12" s="211"/>
    </row>
    <row r="13" spans="1:18">
      <c r="A13" s="102" t="s">
        <v>319</v>
      </c>
      <c r="B13" s="82"/>
      <c r="C13" s="102" t="s">
        <v>289</v>
      </c>
      <c r="D13" s="101">
        <f>D7*D11^2/12</f>
        <v>33697916.666666664</v>
      </c>
      <c r="I13" s="82"/>
      <c r="O13" s="149"/>
      <c r="R13" s="211"/>
    </row>
    <row r="14" spans="1:18">
      <c r="A14" s="102" t="s">
        <v>340</v>
      </c>
      <c r="B14" s="82"/>
      <c r="C14" s="102" t="s">
        <v>290</v>
      </c>
      <c r="D14" s="97">
        <f>D13</f>
        <v>33697916.666666664</v>
      </c>
      <c r="I14" s="82"/>
      <c r="O14" s="149"/>
      <c r="R14" s="211"/>
    </row>
    <row r="15" spans="1:18">
      <c r="A15" s="102" t="s">
        <v>271</v>
      </c>
      <c r="B15" s="82"/>
      <c r="C15" s="114" t="s">
        <v>375</v>
      </c>
      <c r="D15" s="82"/>
      <c r="I15" s="82"/>
      <c r="O15" s="149"/>
      <c r="R15" s="211"/>
    </row>
    <row r="16" spans="1:18">
      <c r="A16" s="102" t="s">
        <v>272</v>
      </c>
      <c r="B16" s="82"/>
      <c r="C16" s="115" t="s">
        <v>267</v>
      </c>
      <c r="D16" s="118" t="s">
        <v>9</v>
      </c>
      <c r="I16" s="82"/>
      <c r="O16" s="149"/>
      <c r="R16" s="211"/>
    </row>
    <row r="17" spans="1:19">
      <c r="A17" s="260" t="s">
        <v>400</v>
      </c>
      <c r="B17" s="82"/>
      <c r="C17" s="116" t="s">
        <v>269</v>
      </c>
      <c r="D17" s="82">
        <v>18</v>
      </c>
      <c r="I17" s="82"/>
      <c r="O17" s="149"/>
      <c r="R17" s="211"/>
    </row>
    <row r="18" spans="1:19">
      <c r="A18" s="260" t="s">
        <v>401</v>
      </c>
      <c r="B18" s="82"/>
      <c r="C18" s="116" t="s">
        <v>234</v>
      </c>
      <c r="D18" s="97">
        <f>Summary!K10+Summary!M10</f>
        <v>0</v>
      </c>
      <c r="I18" s="82"/>
      <c r="O18" s="149"/>
      <c r="R18" s="211"/>
    </row>
    <row r="19" spans="1:19">
      <c r="A19" s="102" t="s">
        <v>236</v>
      </c>
      <c r="B19" s="82"/>
      <c r="C19" s="102" t="s">
        <v>54</v>
      </c>
      <c r="D19" s="117">
        <v>200000</v>
      </c>
      <c r="I19" s="82"/>
      <c r="O19" s="149"/>
      <c r="R19" s="211"/>
    </row>
    <row r="20" spans="1:19">
      <c r="A20" s="102" t="s">
        <v>339</v>
      </c>
      <c r="B20" s="82"/>
      <c r="C20" s="116" t="s">
        <v>268</v>
      </c>
      <c r="D20" s="98" t="e">
        <f t="shared" ref="D20" si="0">PI()*D17^2/4*D19/D18</f>
        <v>#DIV/0!</v>
      </c>
      <c r="I20" s="82"/>
      <c r="O20" s="149"/>
      <c r="R20" s="211"/>
    </row>
    <row r="21" spans="1:19" ht="16" thickBot="1">
      <c r="A21" s="241" t="s">
        <v>314</v>
      </c>
      <c r="B21" s="231"/>
      <c r="C21" s="241" t="s">
        <v>320</v>
      </c>
      <c r="D21" s="231">
        <v>3</v>
      </c>
      <c r="E21" s="176"/>
      <c r="F21" s="176"/>
      <c r="G21" s="176"/>
      <c r="H21" s="176"/>
      <c r="I21" s="231"/>
      <c r="J21" s="176"/>
      <c r="K21" s="176"/>
      <c r="L21" s="176"/>
      <c r="M21" s="176"/>
      <c r="O21" s="149"/>
      <c r="R21" s="211"/>
    </row>
    <row r="22" spans="1:19" ht="16" thickBot="1">
      <c r="A22" s="356" t="s">
        <v>360</v>
      </c>
      <c r="B22" s="357"/>
      <c r="C22" s="357"/>
      <c r="D22" s="357"/>
      <c r="E22" s="357"/>
      <c r="F22" s="357"/>
      <c r="G22" s="357"/>
      <c r="H22" s="357"/>
      <c r="I22" s="357"/>
      <c r="J22" s="357"/>
      <c r="K22" s="357"/>
      <c r="L22" s="357"/>
      <c r="M22" s="358"/>
      <c r="N22" s="254"/>
      <c r="O22" s="213"/>
      <c r="P22" s="213"/>
      <c r="Q22" s="213"/>
      <c r="R22" s="211"/>
    </row>
    <row r="23" spans="1:19" ht="30">
      <c r="A23" s="274" t="s">
        <v>381</v>
      </c>
      <c r="B23" s="234"/>
      <c r="C23" s="242" t="s">
        <v>265</v>
      </c>
      <c r="D23" s="163"/>
      <c r="E23" s="163"/>
      <c r="F23" s="163"/>
      <c r="G23" s="163"/>
      <c r="H23" s="163"/>
      <c r="I23" s="163"/>
      <c r="J23" s="163"/>
      <c r="K23" s="163"/>
      <c r="L23" s="163"/>
      <c r="M23" s="163"/>
      <c r="O23" s="211"/>
      <c r="P23" s="211"/>
      <c r="Q23" s="211"/>
      <c r="R23" s="211"/>
    </row>
    <row r="24" spans="1:19">
      <c r="A24" s="102" t="s">
        <v>3</v>
      </c>
      <c r="B24" s="107"/>
      <c r="C24" s="154"/>
      <c r="O24" s="211"/>
      <c r="P24" s="211"/>
      <c r="Q24" s="211"/>
      <c r="R24" s="211"/>
    </row>
    <row r="25" spans="1:19">
      <c r="A25" s="219" t="s">
        <v>117</v>
      </c>
      <c r="B25" s="152">
        <f>SUM(H34:S34)+C25</f>
        <v>2588000</v>
      </c>
      <c r="C25" s="220">
        <v>0</v>
      </c>
      <c r="G25" s="244" t="s">
        <v>185</v>
      </c>
      <c r="O25" s="211"/>
      <c r="P25" s="211"/>
      <c r="Q25" s="211"/>
      <c r="R25" s="211"/>
    </row>
    <row r="26" spans="1:19">
      <c r="A26" s="219" t="s">
        <v>118</v>
      </c>
      <c r="B26" s="152">
        <f>SUM(H35:S35)+C26</f>
        <v>0</v>
      </c>
      <c r="C26" s="220">
        <v>0</v>
      </c>
      <c r="G26" s="82" t="s">
        <v>124</v>
      </c>
      <c r="O26" s="211"/>
      <c r="P26" s="211"/>
      <c r="Q26" s="211"/>
      <c r="R26" s="211"/>
    </row>
    <row r="27" spans="1:19">
      <c r="A27" s="219" t="s">
        <v>119</v>
      </c>
      <c r="B27" s="152">
        <f>SUM(H36:S36)+C27</f>
        <v>2588000</v>
      </c>
      <c r="C27" s="220">
        <v>0</v>
      </c>
      <c r="D27" s="87"/>
      <c r="E27" s="87"/>
      <c r="F27" s="87"/>
      <c r="G27" s="214" t="s">
        <v>133</v>
      </c>
      <c r="H27" s="215">
        <v>4</v>
      </c>
      <c r="O27" s="211"/>
      <c r="P27" s="211"/>
      <c r="Q27" s="211"/>
      <c r="R27" s="211"/>
    </row>
    <row r="28" spans="1:19">
      <c r="A28" s="102" t="s">
        <v>115</v>
      </c>
      <c r="B28" s="107"/>
      <c r="C28" s="200"/>
      <c r="D28" s="87"/>
      <c r="E28" s="87"/>
      <c r="F28" s="87"/>
      <c r="H28" s="347" t="s">
        <v>129</v>
      </c>
      <c r="I28" s="347"/>
      <c r="J28" s="347"/>
      <c r="K28" s="347"/>
      <c r="L28" s="347"/>
      <c r="M28" s="347"/>
      <c r="N28" s="347"/>
      <c r="O28" s="347"/>
      <c r="P28" s="347"/>
      <c r="Q28" s="347"/>
      <c r="R28" s="347"/>
      <c r="S28" s="347"/>
    </row>
    <row r="29" spans="1:19">
      <c r="A29" s="219" t="s">
        <v>8</v>
      </c>
      <c r="B29" s="152">
        <f>SUM(H38:S38)+SUM(H42:S42)+C29</f>
        <v>6874375000</v>
      </c>
      <c r="C29" s="220">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c r="A30" s="219" t="s">
        <v>120</v>
      </c>
      <c r="B30" s="152">
        <f>SUM(H39:S39)+SUM(H43:S43)+C30</f>
        <v>6604791666.666667</v>
      </c>
      <c r="C30" s="220">
        <v>0</v>
      </c>
      <c r="D30" s="87"/>
      <c r="E30" s="87"/>
      <c r="F30" s="87"/>
      <c r="G30" s="102" t="s">
        <v>42</v>
      </c>
      <c r="H30" s="215">
        <v>0</v>
      </c>
      <c r="I30" s="215">
        <v>0</v>
      </c>
      <c r="J30" s="215">
        <v>0</v>
      </c>
      <c r="K30" s="215">
        <v>0</v>
      </c>
      <c r="L30" s="215">
        <v>0</v>
      </c>
      <c r="M30" s="215">
        <v>0</v>
      </c>
      <c r="N30" s="215">
        <v>0</v>
      </c>
      <c r="O30" s="215">
        <v>0</v>
      </c>
      <c r="P30" s="215">
        <v>0</v>
      </c>
      <c r="Q30" s="215">
        <v>0</v>
      </c>
      <c r="R30" s="215">
        <v>0</v>
      </c>
      <c r="S30" s="215">
        <v>0</v>
      </c>
    </row>
    <row r="31" spans="1:19">
      <c r="A31" s="219" t="s">
        <v>116</v>
      </c>
      <c r="B31" s="152">
        <f>SUM(H40:S40)+SUM(H44:S44)+C31</f>
        <v>6604791666.666667</v>
      </c>
      <c r="C31" s="220">
        <v>0</v>
      </c>
      <c r="D31" s="87"/>
      <c r="E31" s="87"/>
      <c r="F31" s="87"/>
      <c r="G31" s="102" t="s">
        <v>43</v>
      </c>
      <c r="H31" s="215">
        <v>50</v>
      </c>
      <c r="I31" s="215">
        <v>-50</v>
      </c>
      <c r="J31" s="215">
        <v>-50</v>
      </c>
      <c r="K31" s="215">
        <v>50</v>
      </c>
      <c r="L31" s="215">
        <v>0</v>
      </c>
      <c r="M31" s="215">
        <v>0</v>
      </c>
      <c r="N31" s="215">
        <v>0</v>
      </c>
      <c r="O31" s="215">
        <v>0</v>
      </c>
      <c r="P31" s="215">
        <v>0</v>
      </c>
      <c r="Q31" s="215">
        <v>0</v>
      </c>
      <c r="R31" s="215">
        <v>0</v>
      </c>
      <c r="S31" s="215">
        <v>0</v>
      </c>
    </row>
    <row r="32" spans="1:19">
      <c r="A32" s="348" t="s">
        <v>190</v>
      </c>
      <c r="B32" s="348"/>
      <c r="C32" s="348"/>
      <c r="D32" s="87"/>
      <c r="E32" s="87"/>
      <c r="F32" s="87"/>
      <c r="G32" s="102" t="s">
        <v>44</v>
      </c>
      <c r="H32" s="215">
        <v>50</v>
      </c>
      <c r="I32" s="215">
        <v>50</v>
      </c>
      <c r="J32" s="215">
        <v>-50</v>
      </c>
      <c r="K32" s="215">
        <v>-50</v>
      </c>
      <c r="L32" s="215">
        <v>0</v>
      </c>
      <c r="M32" s="215">
        <v>0</v>
      </c>
      <c r="N32" s="215">
        <v>0</v>
      </c>
      <c r="O32" s="215">
        <v>0</v>
      </c>
      <c r="P32" s="215">
        <v>0</v>
      </c>
      <c r="Q32" s="215">
        <v>0</v>
      </c>
      <c r="R32" s="215">
        <v>0</v>
      </c>
      <c r="S32" s="215">
        <v>0</v>
      </c>
    </row>
    <row r="33" spans="1:19">
      <c r="A33" s="348"/>
      <c r="B33" s="348"/>
      <c r="C33" s="348"/>
      <c r="G33" s="82" t="s">
        <v>130</v>
      </c>
      <c r="H33" s="349"/>
      <c r="I33" s="349"/>
      <c r="J33" s="349"/>
      <c r="K33" s="349"/>
    </row>
    <row r="34" spans="1:19">
      <c r="A34" s="348"/>
      <c r="B34" s="348"/>
      <c r="C34" s="348"/>
      <c r="D34" s="87"/>
      <c r="E34" s="87"/>
      <c r="F34" s="87"/>
      <c r="G34" s="102" t="s">
        <v>117</v>
      </c>
      <c r="H34" s="142">
        <f>D7</f>
        <v>647000</v>
      </c>
      <c r="I34" s="142">
        <f>H34</f>
        <v>647000</v>
      </c>
      <c r="J34" s="142">
        <f t="shared" ref="J34:K34" si="2">I34</f>
        <v>647000</v>
      </c>
      <c r="K34" s="142">
        <f t="shared" si="2"/>
        <v>647000</v>
      </c>
      <c r="L34" s="215">
        <v>0</v>
      </c>
      <c r="M34" s="215">
        <v>0</v>
      </c>
      <c r="N34" s="215">
        <v>0</v>
      </c>
      <c r="O34" s="215">
        <v>0</v>
      </c>
      <c r="P34" s="215">
        <v>0</v>
      </c>
      <c r="Q34" s="215">
        <v>0</v>
      </c>
      <c r="R34" s="215">
        <v>0</v>
      </c>
      <c r="S34" s="215">
        <v>0</v>
      </c>
    </row>
    <row r="35" spans="1:19">
      <c r="A35" s="222" t="s">
        <v>186</v>
      </c>
      <c r="B35" s="215"/>
      <c r="C35" s="215"/>
      <c r="D35" s="87"/>
      <c r="E35" s="87"/>
      <c r="F35" s="87"/>
      <c r="G35" s="102" t="s">
        <v>118</v>
      </c>
      <c r="H35" s="142">
        <v>0</v>
      </c>
      <c r="I35" s="142">
        <f>H35</f>
        <v>0</v>
      </c>
      <c r="J35" s="142">
        <f t="shared" ref="J35:K36" si="3">I35</f>
        <v>0</v>
      </c>
      <c r="K35" s="142">
        <f t="shared" si="3"/>
        <v>0</v>
      </c>
      <c r="L35" s="215">
        <v>0</v>
      </c>
      <c r="M35" s="215">
        <v>0</v>
      </c>
      <c r="N35" s="215">
        <v>0</v>
      </c>
      <c r="O35" s="215">
        <v>0</v>
      </c>
      <c r="P35" s="215">
        <v>0</v>
      </c>
      <c r="Q35" s="215">
        <v>0</v>
      </c>
      <c r="R35" s="215">
        <v>0</v>
      </c>
      <c r="S35" s="215">
        <v>0</v>
      </c>
    </row>
    <row r="36" spans="1:19">
      <c r="A36" s="81" t="s">
        <v>109</v>
      </c>
      <c r="D36" s="87"/>
      <c r="E36" s="87"/>
      <c r="F36" s="87"/>
      <c r="G36" s="102" t="s">
        <v>119</v>
      </c>
      <c r="H36" s="142">
        <f>D7</f>
        <v>647000</v>
      </c>
      <c r="I36" s="142">
        <f>H36</f>
        <v>647000</v>
      </c>
      <c r="J36" s="142">
        <f t="shared" si="3"/>
        <v>647000</v>
      </c>
      <c r="K36" s="142">
        <f t="shared" si="3"/>
        <v>647000</v>
      </c>
      <c r="L36" s="215">
        <v>0</v>
      </c>
      <c r="M36" s="215">
        <v>0</v>
      </c>
      <c r="N36" s="215">
        <v>0</v>
      </c>
      <c r="O36" s="215">
        <v>0</v>
      </c>
      <c r="P36" s="215">
        <v>0</v>
      </c>
      <c r="Q36" s="215">
        <v>0</v>
      </c>
      <c r="R36" s="215">
        <v>0</v>
      </c>
      <c r="S36" s="215">
        <v>0</v>
      </c>
    </row>
    <row r="37" spans="1:19">
      <c r="A37" s="102" t="s">
        <v>187</v>
      </c>
      <c r="B37" s="215">
        <v>0</v>
      </c>
      <c r="D37" s="87"/>
      <c r="E37" s="87"/>
      <c r="F37" s="87"/>
      <c r="G37" s="82" t="s">
        <v>131</v>
      </c>
      <c r="H37" s="349"/>
      <c r="I37" s="349"/>
      <c r="J37" s="349"/>
      <c r="K37" s="349"/>
    </row>
    <row r="38" spans="1:19">
      <c r="A38" s="102" t="s">
        <v>188</v>
      </c>
      <c r="B38" s="215">
        <v>0</v>
      </c>
      <c r="D38" s="87"/>
      <c r="E38" s="87"/>
      <c r="F38" s="87"/>
      <c r="G38" s="102" t="s">
        <v>8</v>
      </c>
      <c r="H38" s="142">
        <f>'ref bearings, servo, structure'!B10</f>
        <v>101093750</v>
      </c>
      <c r="I38" s="142">
        <f>H38</f>
        <v>101093750</v>
      </c>
      <c r="J38" s="142">
        <f t="shared" ref="J38:K38" si="4">I38</f>
        <v>101093750</v>
      </c>
      <c r="K38" s="142">
        <f t="shared" si="4"/>
        <v>101093750</v>
      </c>
      <c r="L38" s="215">
        <v>0</v>
      </c>
      <c r="M38" s="215">
        <v>0</v>
      </c>
      <c r="N38" s="215">
        <v>0</v>
      </c>
      <c r="O38" s="215">
        <v>0</v>
      </c>
      <c r="P38" s="215">
        <v>0</v>
      </c>
      <c r="Q38" s="215">
        <v>0</v>
      </c>
      <c r="R38" s="215">
        <v>0</v>
      </c>
      <c r="S38" s="215">
        <v>0</v>
      </c>
    </row>
    <row r="39" spans="1:19">
      <c r="A39" s="102" t="s">
        <v>189</v>
      </c>
      <c r="B39" s="215">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5">
        <v>0</v>
      </c>
      <c r="M39" s="215">
        <v>0</v>
      </c>
      <c r="N39" s="215">
        <v>0</v>
      </c>
      <c r="O39" s="215">
        <v>0</v>
      </c>
      <c r="P39" s="215">
        <v>0</v>
      </c>
      <c r="Q39" s="215">
        <v>0</v>
      </c>
      <c r="R39" s="215">
        <v>0</v>
      </c>
      <c r="S39" s="215">
        <v>0</v>
      </c>
    </row>
    <row r="40" spans="1:19">
      <c r="A40" s="149" t="s">
        <v>110</v>
      </c>
      <c r="G40" s="102" t="s">
        <v>116</v>
      </c>
      <c r="H40" s="142">
        <f>'ref bearings, servo, structure'!B11</f>
        <v>33697916.666666664</v>
      </c>
      <c r="I40" s="142">
        <f t="shared" si="5"/>
        <v>33697916.666666664</v>
      </c>
      <c r="J40" s="142">
        <f t="shared" si="5"/>
        <v>33697916.666666664</v>
      </c>
      <c r="K40" s="142">
        <f t="shared" si="5"/>
        <v>33697916.666666664</v>
      </c>
      <c r="L40" s="215">
        <v>0</v>
      </c>
      <c r="M40" s="215">
        <v>0</v>
      </c>
      <c r="N40" s="215">
        <v>0</v>
      </c>
      <c r="O40" s="215">
        <v>0</v>
      </c>
      <c r="P40" s="215">
        <v>0</v>
      </c>
      <c r="Q40" s="215">
        <v>0</v>
      </c>
      <c r="R40" s="215">
        <v>0</v>
      </c>
      <c r="S40" s="215">
        <v>0</v>
      </c>
    </row>
    <row r="41" spans="1:19">
      <c r="A41" s="102" t="s">
        <v>187</v>
      </c>
      <c r="B41" s="215">
        <v>0</v>
      </c>
      <c r="D41" s="218"/>
      <c r="E41" s="218"/>
      <c r="F41" s="218"/>
      <c r="G41" s="82" t="s">
        <v>125</v>
      </c>
    </row>
    <row r="42" spans="1:19">
      <c r="A42" s="102" t="s">
        <v>188</v>
      </c>
      <c r="B42" s="215">
        <v>0</v>
      </c>
      <c r="D42" s="154"/>
      <c r="E42" s="154"/>
      <c r="F42" s="154"/>
      <c r="G42" s="102" t="s">
        <v>8</v>
      </c>
      <c r="H42" s="152">
        <f>H35*H32^2+H36*H31^2</f>
        <v>1617500000</v>
      </c>
      <c r="I42" s="152">
        <f t="shared" ref="I42:S42" si="6">I35*I32^2+I36*I31^2</f>
        <v>1617500000</v>
      </c>
      <c r="J42" s="152">
        <f t="shared" si="6"/>
        <v>1617500000</v>
      </c>
      <c r="K42" s="152">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c r="A43" s="102" t="s">
        <v>189</v>
      </c>
      <c r="B43" s="215">
        <v>0</v>
      </c>
      <c r="D43" s="220"/>
      <c r="E43" s="220"/>
      <c r="F43" s="220"/>
      <c r="G43" s="102" t="s">
        <v>120</v>
      </c>
      <c r="H43" s="152">
        <f>H34*H32^2+H36*H30^2</f>
        <v>1617500000</v>
      </c>
      <c r="I43" s="152">
        <f t="shared" ref="I43:S43" si="7">I34*I32^2+I36*I30^2</f>
        <v>1617500000</v>
      </c>
      <c r="J43" s="152">
        <f t="shared" si="7"/>
        <v>1617500000</v>
      </c>
      <c r="K43" s="152">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c r="A44" s="216" t="s">
        <v>207</v>
      </c>
      <c r="C44" s="87"/>
      <c r="D44" s="220"/>
      <c r="E44" s="220"/>
      <c r="F44" s="220"/>
      <c r="G44" s="102" t="s">
        <v>116</v>
      </c>
      <c r="H44" s="152">
        <f>H34*H31^2+H35*H30^2</f>
        <v>1617500000</v>
      </c>
      <c r="I44" s="152">
        <f t="shared" ref="I44:S44" si="8">I34*I31^2+I35*I30^2</f>
        <v>1617500000</v>
      </c>
      <c r="J44" s="152">
        <f t="shared" si="8"/>
        <v>1617500000</v>
      </c>
      <c r="K44" s="152">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c r="A45" s="102" t="s">
        <v>121</v>
      </c>
      <c r="B45" s="105">
        <f>SQRT((H46^2+I46^2+J46^2+K46^2+L46^2+M46^2+N46^2+O46^2+P46^2+Q46^2+R46^2+S46^2)/H$27)</f>
        <v>5.0000000000000001E-3</v>
      </c>
      <c r="C45" s="87"/>
      <c r="D45" s="220"/>
      <c r="E45" s="220"/>
      <c r="F45" s="220"/>
      <c r="G45" s="82" t="s">
        <v>307</v>
      </c>
    </row>
    <row r="46" spans="1:19">
      <c r="A46" s="102" t="s">
        <v>122</v>
      </c>
      <c r="B46" s="105">
        <f>SQRT((H47^2+I47^2+J47^2+K47^2+L47^2+M47^2+N47^2+O47^2+P47^2+Q47^2+R47^2+S47^2)/H$27)</f>
        <v>5.0000000000000001E-3</v>
      </c>
      <c r="C46" s="87"/>
      <c r="D46" s="200"/>
      <c r="E46" s="200"/>
      <c r="F46" s="200"/>
      <c r="G46" s="102" t="s">
        <v>121</v>
      </c>
      <c r="H46" s="215">
        <f t="shared" ref="H46:K48" si="9">0.005</f>
        <v>5.0000000000000001E-3</v>
      </c>
      <c r="I46" s="215">
        <f t="shared" si="9"/>
        <v>5.0000000000000001E-3</v>
      </c>
      <c r="J46" s="215">
        <f t="shared" si="9"/>
        <v>5.0000000000000001E-3</v>
      </c>
      <c r="K46" s="215">
        <f t="shared" si="9"/>
        <v>5.0000000000000001E-3</v>
      </c>
      <c r="L46" s="215">
        <v>0</v>
      </c>
      <c r="M46" s="215">
        <v>0</v>
      </c>
      <c r="N46" s="215">
        <v>0</v>
      </c>
      <c r="O46" s="215">
        <v>0</v>
      </c>
      <c r="P46" s="215">
        <v>0</v>
      </c>
      <c r="Q46" s="215">
        <v>0</v>
      </c>
      <c r="R46" s="215">
        <v>0</v>
      </c>
      <c r="S46" s="215">
        <v>0</v>
      </c>
    </row>
    <row r="47" spans="1:19">
      <c r="A47" s="102" t="s">
        <v>123</v>
      </c>
      <c r="B47" s="105">
        <f>SQRT((H48^2+I48^2+J48^2+K48^2+L48^2+M48^2+N48^2+O48^2+P48^2+Q48^2+R48^2+S48^2)/H$27)</f>
        <v>5.0000000000000001E-3</v>
      </c>
      <c r="C47" s="87"/>
      <c r="D47" s="220"/>
      <c r="E47" s="220"/>
      <c r="F47" s="220"/>
      <c r="G47" s="102" t="s">
        <v>122</v>
      </c>
      <c r="H47" s="215">
        <f t="shared" si="9"/>
        <v>5.0000000000000001E-3</v>
      </c>
      <c r="I47" s="215">
        <f t="shared" si="9"/>
        <v>5.0000000000000001E-3</v>
      </c>
      <c r="J47" s="215">
        <f t="shared" si="9"/>
        <v>5.0000000000000001E-3</v>
      </c>
      <c r="K47" s="215">
        <f t="shared" si="9"/>
        <v>5.0000000000000001E-3</v>
      </c>
      <c r="L47" s="215">
        <v>0</v>
      </c>
      <c r="M47" s="215">
        <v>0</v>
      </c>
      <c r="N47" s="215">
        <v>0</v>
      </c>
      <c r="O47" s="215">
        <v>0</v>
      </c>
      <c r="P47" s="215">
        <v>0</v>
      </c>
      <c r="Q47" s="215">
        <v>0</v>
      </c>
      <c r="R47" s="215">
        <v>0</v>
      </c>
      <c r="S47" s="215">
        <v>0</v>
      </c>
    </row>
    <row r="48" spans="1:19">
      <c r="A48" s="102" t="s">
        <v>85</v>
      </c>
      <c r="B48" s="105">
        <f>SQRT((H50^2+I50^2+J50^2+K50^2+L50^2+M50^2+N50^2+O50^2+P50^2+Q50^2+R50^2+S50^2+B37^2)/H$27)</f>
        <v>9.9999999000000077E-5</v>
      </c>
      <c r="D48" s="220"/>
      <c r="E48" s="220"/>
      <c r="F48" s="220"/>
      <c r="G48" s="102" t="s">
        <v>123</v>
      </c>
      <c r="H48" s="215">
        <f t="shared" si="9"/>
        <v>5.0000000000000001E-3</v>
      </c>
      <c r="I48" s="215">
        <f t="shared" si="9"/>
        <v>5.0000000000000001E-3</v>
      </c>
      <c r="J48" s="215">
        <f t="shared" si="9"/>
        <v>5.0000000000000001E-3</v>
      </c>
      <c r="K48" s="215">
        <f t="shared" si="9"/>
        <v>5.0000000000000001E-3</v>
      </c>
      <c r="L48" s="215">
        <v>0</v>
      </c>
      <c r="M48" s="215">
        <v>0</v>
      </c>
      <c r="N48" s="215">
        <v>0</v>
      </c>
      <c r="O48" s="215">
        <v>0</v>
      </c>
      <c r="P48" s="215">
        <v>0</v>
      </c>
      <c r="Q48" s="215">
        <v>0</v>
      </c>
      <c r="R48" s="215">
        <v>0</v>
      </c>
      <c r="S48" s="215">
        <v>0</v>
      </c>
    </row>
    <row r="49" spans="1:20">
      <c r="A49" s="102" t="s">
        <v>86</v>
      </c>
      <c r="B49" s="105">
        <f>SQRT((H51^2+I51^2+J51^2+K51^2+L51^2+M51^2+N51^2+O51^2+P51^2+Q51^2+R51^2+S51^2+B38^2)/H$27)</f>
        <v>1.0000000000000007E-4</v>
      </c>
      <c r="D49" s="220"/>
      <c r="E49" s="220"/>
      <c r="F49" s="220"/>
      <c r="G49" s="82" t="s">
        <v>252</v>
      </c>
    </row>
    <row r="50" spans="1:20">
      <c r="A50" s="102" t="s">
        <v>87</v>
      </c>
      <c r="B50" s="105">
        <f>SQRT((H52^2+I52^2+J52^2+K52^2+L52^2+M52^2+N52^2+O52^2+P52^2+Q52^2+R52^2+S52^2+B39^2)/H$27)</f>
        <v>1.0000000000000007E-4</v>
      </c>
      <c r="D50" s="221"/>
      <c r="E50" s="221"/>
      <c r="F50" s="221"/>
      <c r="G50" s="102" t="s">
        <v>85</v>
      </c>
      <c r="H50" s="152">
        <f>H97</f>
        <v>9.9999998000000053E-5</v>
      </c>
      <c r="I50" s="152">
        <f t="shared" ref="I50:S50" si="10">I97</f>
        <v>9.9999998000000053E-5</v>
      </c>
      <c r="J50" s="152">
        <f t="shared" si="10"/>
        <v>1.0000000200000004E-4</v>
      </c>
      <c r="K50" s="152">
        <f t="shared" si="10"/>
        <v>9.9999998000000053E-5</v>
      </c>
      <c r="L50" s="152">
        <f t="shared" si="10"/>
        <v>0</v>
      </c>
      <c r="M50" s="152">
        <f t="shared" si="10"/>
        <v>0</v>
      </c>
      <c r="N50" s="152">
        <f t="shared" si="10"/>
        <v>0</v>
      </c>
      <c r="O50" s="152">
        <f t="shared" si="10"/>
        <v>0</v>
      </c>
      <c r="P50" s="152">
        <f t="shared" si="10"/>
        <v>0</v>
      </c>
      <c r="Q50" s="152">
        <f t="shared" si="10"/>
        <v>0</v>
      </c>
      <c r="R50" s="152">
        <f t="shared" si="10"/>
        <v>0</v>
      </c>
      <c r="S50" s="152">
        <f t="shared" si="10"/>
        <v>0</v>
      </c>
    </row>
    <row r="51" spans="1:20" ht="45">
      <c r="A51" s="217" t="s">
        <v>208</v>
      </c>
      <c r="B51" s="107"/>
      <c r="D51" s="221"/>
      <c r="E51" s="221"/>
      <c r="F51" s="221"/>
      <c r="G51" s="102" t="s">
        <v>86</v>
      </c>
      <c r="H51" s="152">
        <f>H101</f>
        <v>9.9999998000000053E-5</v>
      </c>
      <c r="I51" s="152">
        <f t="shared" ref="I51:S51" si="11">I101</f>
        <v>9.9999998000000053E-5</v>
      </c>
      <c r="J51" s="152">
        <f t="shared" si="11"/>
        <v>1.0000000200000004E-4</v>
      </c>
      <c r="K51" s="152">
        <f t="shared" si="11"/>
        <v>1.0000000200000004E-4</v>
      </c>
      <c r="L51" s="152">
        <f t="shared" si="11"/>
        <v>0</v>
      </c>
      <c r="M51" s="152">
        <f t="shared" si="11"/>
        <v>0</v>
      </c>
      <c r="N51" s="152">
        <f t="shared" si="11"/>
        <v>0</v>
      </c>
      <c r="O51" s="152">
        <f t="shared" si="11"/>
        <v>0</v>
      </c>
      <c r="P51" s="152">
        <f t="shared" si="11"/>
        <v>0</v>
      </c>
      <c r="Q51" s="152">
        <f t="shared" si="11"/>
        <v>0</v>
      </c>
      <c r="R51" s="152">
        <f t="shared" si="11"/>
        <v>0</v>
      </c>
      <c r="S51" s="152">
        <f t="shared" si="11"/>
        <v>0</v>
      </c>
      <c r="T51" s="83"/>
    </row>
    <row r="52" spans="1:20">
      <c r="A52" s="102" t="s">
        <v>121</v>
      </c>
      <c r="B52" s="105">
        <f>SQRT((H54^2+I54^2+J54^2+K54^2+L54^2+M54^2+N54^2+O54^2+P54^2+Q54^2+R54^2+S54^2)/H$27)</f>
        <v>0</v>
      </c>
      <c r="D52" s="221"/>
      <c r="E52" s="221"/>
      <c r="F52" s="221"/>
      <c r="G52" s="102" t="s">
        <v>87</v>
      </c>
      <c r="H52" s="152">
        <f>H105</f>
        <v>9.9999998000000053E-5</v>
      </c>
      <c r="I52" s="152">
        <f t="shared" ref="I52:S52" si="12">I105</f>
        <v>1.0000000200000004E-4</v>
      </c>
      <c r="J52" s="152">
        <f t="shared" si="12"/>
        <v>1.0000000200000004E-4</v>
      </c>
      <c r="K52" s="152">
        <f t="shared" si="12"/>
        <v>9.9999998000000053E-5</v>
      </c>
      <c r="L52" s="152">
        <f t="shared" si="12"/>
        <v>0</v>
      </c>
      <c r="M52" s="152">
        <f t="shared" si="12"/>
        <v>0</v>
      </c>
      <c r="N52" s="152">
        <f t="shared" si="12"/>
        <v>0</v>
      </c>
      <c r="O52" s="152">
        <f t="shared" si="12"/>
        <v>0</v>
      </c>
      <c r="P52" s="152">
        <f t="shared" si="12"/>
        <v>0</v>
      </c>
      <c r="Q52" s="152">
        <f t="shared" si="12"/>
        <v>0</v>
      </c>
      <c r="R52" s="152">
        <f t="shared" si="12"/>
        <v>0</v>
      </c>
      <c r="S52" s="152">
        <f t="shared" si="12"/>
        <v>0</v>
      </c>
    </row>
    <row r="53" spans="1:20">
      <c r="A53" s="102" t="s">
        <v>122</v>
      </c>
      <c r="B53" s="105">
        <f>SQRT((H55^2+I55^2+J55^2+K55^2+L55^2+M55^2+N55^2+O55^2+P55^2+Q55^2+R55^2+S55^2)/H$27)</f>
        <v>0</v>
      </c>
      <c r="D53" s="215"/>
      <c r="E53" s="215"/>
      <c r="F53" s="215"/>
      <c r="G53" s="82" t="s">
        <v>333</v>
      </c>
    </row>
    <row r="54" spans="1:20">
      <c r="A54" s="102" t="s">
        <v>123</v>
      </c>
      <c r="B54" s="105">
        <f>SQRT((H56^2+I56^2+J56^2+K56^2+L56^2+M56^2+N56^2+O56^2+P56^2+Q56^2+R56^2+S56^2)/H$27)</f>
        <v>0</v>
      </c>
      <c r="G54" s="102" t="s">
        <v>121</v>
      </c>
      <c r="H54" s="215">
        <v>0</v>
      </c>
      <c r="I54" s="215">
        <v>0</v>
      </c>
      <c r="J54" s="215">
        <v>0</v>
      </c>
      <c r="K54" s="215">
        <v>0</v>
      </c>
      <c r="L54" s="215">
        <v>0</v>
      </c>
      <c r="M54" s="215">
        <v>0</v>
      </c>
      <c r="N54" s="215">
        <v>0</v>
      </c>
      <c r="O54" s="215">
        <v>0</v>
      </c>
      <c r="P54" s="215">
        <v>0</v>
      </c>
      <c r="Q54" s="215">
        <v>0</v>
      </c>
      <c r="R54" s="215">
        <v>0</v>
      </c>
      <c r="S54" s="215">
        <v>0</v>
      </c>
    </row>
    <row r="55" spans="1:20">
      <c r="A55" s="102" t="s">
        <v>85</v>
      </c>
      <c r="B55" s="105">
        <f>SQRT((H58^2+I58^2+J58^2+K58^2+L58^2+M58^2+N58^2+O58^2+P58^2+Q58^2+R58^2+S58^2+B41^2)/H$27)</f>
        <v>0</v>
      </c>
      <c r="G55" s="102" t="s">
        <v>122</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SQRT((H59^2+I59^2+J59^2+K59^2+L59^2+M59^2+N59^2+O59^2+P59^2+Q59^2+R59^2+S59^2+B42^2)/H$27)</f>
        <v>0</v>
      </c>
      <c r="G56" s="102" t="s">
        <v>123</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SQRT((H60^2+I60^2+J60^2+K60^2+L60^2+M60^2+N60^2+O60^2+P60^2+Q60^2+R60^2+S60^2+B43^2)/H$27)</f>
        <v>0</v>
      </c>
      <c r="G57" s="82" t="s">
        <v>253</v>
      </c>
    </row>
    <row r="58" spans="1:20">
      <c r="G58" s="102" t="s">
        <v>85</v>
      </c>
      <c r="H58" s="223">
        <f>H112</f>
        <v>0</v>
      </c>
      <c r="I58" s="223">
        <f t="shared" ref="I58:S58" si="13">I112</f>
        <v>0</v>
      </c>
      <c r="J58" s="223">
        <f t="shared" si="13"/>
        <v>0</v>
      </c>
      <c r="K58" s="223">
        <f t="shared" si="13"/>
        <v>0</v>
      </c>
      <c r="L58" s="223">
        <f t="shared" si="13"/>
        <v>0</v>
      </c>
      <c r="M58" s="223">
        <f t="shared" si="13"/>
        <v>0</v>
      </c>
      <c r="N58" s="223">
        <f t="shared" si="13"/>
        <v>0</v>
      </c>
      <c r="O58" s="223">
        <f t="shared" si="13"/>
        <v>0</v>
      </c>
      <c r="P58" s="223">
        <f t="shared" si="13"/>
        <v>0</v>
      </c>
      <c r="Q58" s="223">
        <f t="shared" si="13"/>
        <v>0</v>
      </c>
      <c r="R58" s="223">
        <f t="shared" si="13"/>
        <v>0</v>
      </c>
      <c r="S58" s="223">
        <f t="shared" si="13"/>
        <v>0</v>
      </c>
    </row>
    <row r="59" spans="1:20">
      <c r="G59" s="102" t="s">
        <v>86</v>
      </c>
      <c r="H59" s="223">
        <f>H117</f>
        <v>0</v>
      </c>
      <c r="I59" s="223">
        <f t="shared" ref="I59:S59" si="14">I117</f>
        <v>0</v>
      </c>
      <c r="J59" s="223">
        <f t="shared" si="14"/>
        <v>0</v>
      </c>
      <c r="K59" s="223">
        <f t="shared" si="14"/>
        <v>0</v>
      </c>
      <c r="L59" s="223">
        <f t="shared" si="14"/>
        <v>0</v>
      </c>
      <c r="M59" s="223">
        <f t="shared" si="14"/>
        <v>0</v>
      </c>
      <c r="N59" s="223">
        <f t="shared" si="14"/>
        <v>0</v>
      </c>
      <c r="O59" s="223">
        <f t="shared" si="14"/>
        <v>0</v>
      </c>
      <c r="P59" s="223">
        <f t="shared" si="14"/>
        <v>0</v>
      </c>
      <c r="Q59" s="223">
        <f t="shared" si="14"/>
        <v>0</v>
      </c>
      <c r="R59" s="223">
        <f t="shared" si="14"/>
        <v>0</v>
      </c>
      <c r="S59" s="223">
        <f t="shared" si="14"/>
        <v>0</v>
      </c>
    </row>
    <row r="60" spans="1:20">
      <c r="G60" s="102" t="s">
        <v>87</v>
      </c>
      <c r="H60" s="223">
        <f>H122</f>
        <v>0</v>
      </c>
      <c r="I60" s="223">
        <f t="shared" ref="I60:S60" si="15">I122</f>
        <v>0</v>
      </c>
      <c r="J60" s="223">
        <f t="shared" si="15"/>
        <v>0</v>
      </c>
      <c r="K60" s="223">
        <f t="shared" si="15"/>
        <v>0</v>
      </c>
      <c r="L60" s="223">
        <f t="shared" si="15"/>
        <v>0</v>
      </c>
      <c r="M60" s="223">
        <f t="shared" si="15"/>
        <v>0</v>
      </c>
      <c r="N60" s="223">
        <f t="shared" si="15"/>
        <v>0</v>
      </c>
      <c r="O60" s="223">
        <f t="shared" si="15"/>
        <v>0</v>
      </c>
      <c r="P60" s="223">
        <f t="shared" si="15"/>
        <v>0</v>
      </c>
      <c r="Q60" s="223">
        <f t="shared" si="15"/>
        <v>0</v>
      </c>
      <c r="R60" s="223">
        <f t="shared" si="15"/>
        <v>0</v>
      </c>
      <c r="S60" s="223">
        <f t="shared" si="15"/>
        <v>0</v>
      </c>
    </row>
    <row r="61" spans="1:20">
      <c r="G61" s="216"/>
    </row>
    <row r="62" spans="1:20">
      <c r="I62" s="118"/>
      <c r="J62" s="118"/>
      <c r="K62" s="118"/>
      <c r="L62" s="118"/>
      <c r="M62" s="118"/>
      <c r="N62" s="118"/>
    </row>
    <row r="63" spans="1:20">
      <c r="G63" s="119"/>
      <c r="H63" s="326"/>
      <c r="I63" s="224"/>
      <c r="J63" s="224"/>
      <c r="K63" s="224"/>
      <c r="L63" s="224"/>
      <c r="M63" s="224"/>
      <c r="N63" s="224"/>
      <c r="O63" s="118"/>
    </row>
    <row r="64" spans="1:20">
      <c r="G64" s="119"/>
      <c r="H64" s="326"/>
      <c r="I64" s="224"/>
      <c r="J64" s="224"/>
      <c r="K64" s="224"/>
      <c r="L64" s="224"/>
      <c r="M64" s="224"/>
      <c r="N64" s="224"/>
      <c r="O64" s="118"/>
    </row>
    <row r="65" spans="1:15">
      <c r="G65" s="119"/>
      <c r="H65" s="326"/>
      <c r="I65" s="224"/>
      <c r="J65" s="224"/>
      <c r="K65" s="224"/>
      <c r="L65" s="224"/>
      <c r="M65" s="224"/>
      <c r="N65" s="224"/>
      <c r="O65" s="118"/>
    </row>
    <row r="66" spans="1:15">
      <c r="G66" s="119"/>
      <c r="H66" s="326"/>
      <c r="I66" s="224"/>
      <c r="J66" s="224"/>
      <c r="K66" s="224"/>
      <c r="L66" s="224"/>
      <c r="M66" s="224"/>
      <c r="N66" s="224"/>
      <c r="O66" s="118"/>
    </row>
    <row r="67" spans="1:15">
      <c r="G67" s="119"/>
      <c r="H67" s="326"/>
      <c r="I67" s="224"/>
      <c r="J67" s="224"/>
      <c r="K67" s="224"/>
      <c r="L67" s="224"/>
      <c r="M67" s="224"/>
      <c r="N67" s="224"/>
      <c r="O67" s="118"/>
    </row>
    <row r="68" spans="1:15">
      <c r="G68" s="119"/>
      <c r="H68" s="326"/>
      <c r="I68" s="224"/>
      <c r="J68" s="224"/>
      <c r="K68" s="224"/>
      <c r="L68" s="224"/>
      <c r="M68" s="224"/>
      <c r="N68" s="224"/>
      <c r="O68" s="118"/>
    </row>
    <row r="69" spans="1:15">
      <c r="G69" s="119"/>
      <c r="H69" s="195"/>
      <c r="I69" s="224"/>
      <c r="J69" s="224"/>
      <c r="K69" s="224"/>
      <c r="L69" s="224"/>
      <c r="M69" s="224"/>
      <c r="N69" s="224"/>
      <c r="O69" s="118"/>
    </row>
    <row r="70" spans="1:15">
      <c r="A70" s="102"/>
      <c r="B70" s="211"/>
      <c r="G70" s="119"/>
      <c r="H70" s="195"/>
      <c r="I70" s="224"/>
      <c r="J70" s="224"/>
      <c r="K70" s="224"/>
      <c r="L70" s="224"/>
      <c r="M70" s="224"/>
      <c r="N70" s="224"/>
      <c r="O70" s="118"/>
    </row>
    <row r="71" spans="1:15">
      <c r="A71" s="102"/>
      <c r="B71" s="211"/>
      <c r="G71" s="119"/>
      <c r="H71" s="195"/>
      <c r="I71" s="224"/>
      <c r="J71" s="224"/>
      <c r="K71" s="224"/>
      <c r="L71" s="224"/>
      <c r="M71" s="224"/>
      <c r="N71" s="224"/>
      <c r="O71" s="118"/>
    </row>
    <row r="72" spans="1:15">
      <c r="A72" s="102"/>
      <c r="B72" s="211"/>
      <c r="G72" s="119"/>
      <c r="H72" s="195"/>
      <c r="I72" s="224"/>
      <c r="J72" s="224"/>
      <c r="K72" s="224"/>
      <c r="L72" s="224"/>
      <c r="M72" s="224"/>
      <c r="N72" s="224"/>
      <c r="O72" s="118"/>
    </row>
    <row r="73" spans="1:15">
      <c r="A73" s="102"/>
      <c r="B73" s="211"/>
      <c r="G73" s="119"/>
      <c r="H73" s="195"/>
      <c r="I73" s="224"/>
      <c r="J73" s="224"/>
      <c r="K73" s="224"/>
      <c r="L73" s="224"/>
      <c r="M73" s="224"/>
      <c r="N73" s="224"/>
      <c r="O73" s="118"/>
    </row>
    <row r="74" spans="1:15">
      <c r="A74" s="102"/>
      <c r="B74" s="211"/>
      <c r="G74" s="119"/>
      <c r="H74" s="195"/>
      <c r="I74" s="224"/>
      <c r="J74" s="224"/>
      <c r="K74" s="224"/>
      <c r="L74" s="224"/>
      <c r="M74" s="224"/>
      <c r="N74" s="224"/>
      <c r="O74" s="118"/>
    </row>
    <row r="75" spans="1:15">
      <c r="A75" s="102"/>
      <c r="B75" s="211"/>
      <c r="G75" s="119"/>
      <c r="H75" s="195"/>
      <c r="I75" s="224"/>
      <c r="J75" s="224"/>
      <c r="K75" s="224"/>
      <c r="L75" s="224"/>
      <c r="M75" s="224"/>
      <c r="N75" s="224"/>
      <c r="O75" s="118"/>
    </row>
    <row r="76" spans="1:15">
      <c r="A76" s="102"/>
      <c r="B76" s="211"/>
      <c r="G76" s="119"/>
      <c r="H76" s="195"/>
      <c r="I76" s="224"/>
      <c r="J76" s="224"/>
      <c r="K76" s="224"/>
      <c r="L76" s="224"/>
      <c r="M76" s="224"/>
      <c r="N76" s="224"/>
      <c r="O76" s="118"/>
    </row>
    <row r="77" spans="1:15">
      <c r="A77" s="102"/>
      <c r="B77" s="211"/>
      <c r="G77" s="119"/>
      <c r="H77" s="195"/>
      <c r="I77" s="224"/>
      <c r="J77" s="224"/>
      <c r="K77" s="224"/>
      <c r="L77" s="224"/>
      <c r="M77" s="224"/>
      <c r="N77" s="224"/>
      <c r="O77" s="118"/>
    </row>
    <row r="78" spans="1:15">
      <c r="A78" s="102"/>
      <c r="B78" s="211"/>
      <c r="G78" s="119"/>
      <c r="H78" s="195"/>
      <c r="I78" s="224"/>
      <c r="J78" s="224"/>
      <c r="K78" s="224"/>
      <c r="L78" s="224"/>
      <c r="M78" s="224"/>
      <c r="N78" s="224"/>
      <c r="O78" s="118"/>
    </row>
    <row r="79" spans="1:15">
      <c r="A79" s="102"/>
      <c r="B79" s="211"/>
      <c r="G79" s="119"/>
      <c r="H79" s="195"/>
      <c r="I79" s="224"/>
      <c r="J79" s="224"/>
      <c r="K79" s="224"/>
      <c r="L79" s="224"/>
      <c r="M79" s="224"/>
      <c r="N79" s="224"/>
      <c r="O79" s="118"/>
    </row>
    <row r="80" spans="1:15">
      <c r="A80" s="102"/>
      <c r="B80" s="211"/>
      <c r="G80" s="119"/>
      <c r="H80" s="195"/>
      <c r="I80" s="224"/>
      <c r="J80" s="224"/>
      <c r="K80" s="224"/>
      <c r="L80" s="224"/>
      <c r="M80" s="224"/>
      <c r="N80" s="224"/>
      <c r="O80" s="118"/>
    </row>
    <row r="81" spans="1:19">
      <c r="A81" s="102"/>
      <c r="B81" s="211"/>
      <c r="G81" s="119"/>
      <c r="H81" s="195"/>
      <c r="I81" s="224"/>
      <c r="J81" s="224"/>
      <c r="K81" s="224"/>
      <c r="L81" s="224"/>
      <c r="M81" s="224"/>
      <c r="N81" s="224"/>
      <c r="O81" s="118"/>
    </row>
    <row r="82" spans="1:19">
      <c r="A82" s="102"/>
      <c r="B82" s="211"/>
      <c r="G82" s="119"/>
      <c r="H82" s="195"/>
      <c r="I82" s="224"/>
      <c r="J82" s="224"/>
      <c r="K82" s="224"/>
      <c r="L82" s="224"/>
      <c r="M82" s="224"/>
      <c r="N82" s="224"/>
      <c r="O82" s="118"/>
    </row>
    <row r="83" spans="1:19">
      <c r="A83" s="102"/>
      <c r="B83" s="211"/>
      <c r="G83" s="119"/>
      <c r="H83" s="195"/>
      <c r="I83" s="224"/>
      <c r="J83" s="224"/>
      <c r="K83" s="224"/>
      <c r="L83" s="224"/>
      <c r="M83" s="224"/>
      <c r="N83" s="224"/>
      <c r="O83" s="118"/>
    </row>
    <row r="84" spans="1:19">
      <c r="A84" s="102"/>
      <c r="B84" s="211"/>
      <c r="G84" s="119"/>
      <c r="H84" s="195"/>
      <c r="I84" s="224"/>
      <c r="J84" s="224"/>
      <c r="K84" s="224"/>
      <c r="L84" s="224"/>
      <c r="M84" s="224"/>
      <c r="N84" s="224"/>
      <c r="O84" s="118"/>
    </row>
    <row r="85" spans="1:19">
      <c r="A85" s="102"/>
      <c r="B85" s="211"/>
      <c r="G85" s="119"/>
      <c r="H85" s="195"/>
      <c r="I85" s="224"/>
      <c r="J85" s="224"/>
      <c r="K85" s="224"/>
      <c r="L85" s="224"/>
      <c r="M85" s="224"/>
      <c r="N85" s="224"/>
      <c r="O85" s="118"/>
    </row>
    <row r="86" spans="1:19">
      <c r="A86" s="102"/>
      <c r="B86" s="211"/>
      <c r="G86" s="119"/>
      <c r="H86" s="195"/>
      <c r="I86" s="224"/>
      <c r="J86" s="224"/>
      <c r="K86" s="224"/>
      <c r="L86" s="224"/>
      <c r="M86" s="224"/>
      <c r="N86" s="224"/>
      <c r="O86" s="118"/>
    </row>
    <row r="87" spans="1:19">
      <c r="A87" s="102"/>
      <c r="B87" s="211"/>
      <c r="G87" s="119"/>
      <c r="H87" s="195"/>
      <c r="I87" s="224"/>
      <c r="J87" s="224"/>
      <c r="K87" s="224"/>
      <c r="L87" s="224"/>
      <c r="M87" s="224"/>
      <c r="N87" s="224"/>
      <c r="O87" s="118"/>
    </row>
    <row r="88" spans="1:19">
      <c r="A88" s="102"/>
      <c r="B88" s="211"/>
      <c r="G88" s="119"/>
      <c r="H88" s="195"/>
      <c r="I88" s="224"/>
      <c r="J88" s="224"/>
      <c r="K88" s="224"/>
      <c r="L88" s="224"/>
      <c r="M88" s="224"/>
      <c r="N88" s="224"/>
      <c r="O88" s="118"/>
    </row>
    <row r="89" spans="1:19">
      <c r="A89" s="102"/>
      <c r="B89" s="211"/>
      <c r="G89" s="119"/>
      <c r="H89" s="195"/>
      <c r="I89" s="224"/>
      <c r="J89" s="224"/>
      <c r="K89" s="224"/>
      <c r="L89" s="224"/>
      <c r="M89" s="224"/>
      <c r="N89" s="224"/>
      <c r="O89" s="118"/>
    </row>
    <row r="90" spans="1:19">
      <c r="A90" s="102"/>
      <c r="B90" s="211"/>
    </row>
    <row r="91" spans="1:19">
      <c r="A91" s="102"/>
      <c r="B91" s="211"/>
    </row>
    <row r="92" spans="1:19">
      <c r="A92" s="102"/>
      <c r="B92" s="211"/>
    </row>
    <row r="93" spans="1:19">
      <c r="A93" s="102"/>
      <c r="B93" s="211"/>
      <c r="G93" s="225" t="s">
        <v>260</v>
      </c>
    </row>
    <row r="94" spans="1:19">
      <c r="A94" s="102"/>
      <c r="B94" s="211"/>
      <c r="G94" s="213"/>
      <c r="H94" s="149" t="s">
        <v>261</v>
      </c>
    </row>
    <row r="95" spans="1:19">
      <c r="A95" s="102"/>
      <c r="B95" s="211"/>
      <c r="G95" s="149" t="s">
        <v>259</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c r="A96" s="102"/>
      <c r="B96" s="211"/>
      <c r="G96" s="149" t="s">
        <v>259</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1"/>
      <c r="G97" s="81" t="s">
        <v>257</v>
      </c>
      <c r="H97" s="226">
        <f>IF(MIN(H95,H96)&gt;1,0,MIN(H95,H96))</f>
        <v>9.9999998000000053E-5</v>
      </c>
      <c r="I97" s="226">
        <f t="shared" ref="I97:S97" si="18">IF(MIN(I95,I96)&gt;1,0,MIN(I95,I96))</f>
        <v>9.9999998000000053E-5</v>
      </c>
      <c r="J97" s="226">
        <f t="shared" si="18"/>
        <v>1.0000000200000004E-4</v>
      </c>
      <c r="K97" s="226">
        <f t="shared" si="18"/>
        <v>9.9999998000000053E-5</v>
      </c>
      <c r="L97" s="226">
        <f t="shared" si="18"/>
        <v>0</v>
      </c>
      <c r="M97" s="226">
        <f t="shared" si="18"/>
        <v>0</v>
      </c>
      <c r="N97" s="226">
        <f t="shared" si="18"/>
        <v>0</v>
      </c>
      <c r="O97" s="226">
        <f t="shared" si="18"/>
        <v>0</v>
      </c>
      <c r="P97" s="226">
        <f t="shared" si="18"/>
        <v>0</v>
      </c>
      <c r="Q97" s="226">
        <f t="shared" si="18"/>
        <v>0</v>
      </c>
      <c r="R97" s="226">
        <f t="shared" si="18"/>
        <v>0</v>
      </c>
      <c r="S97" s="226">
        <f t="shared" si="18"/>
        <v>0</v>
      </c>
    </row>
    <row r="98" spans="1:19">
      <c r="A98" s="102"/>
      <c r="B98" s="211"/>
      <c r="H98" s="149" t="s">
        <v>262</v>
      </c>
      <c r="I98" s="149"/>
      <c r="J98" s="149"/>
      <c r="K98" s="149"/>
      <c r="L98" s="149"/>
      <c r="M98" s="149"/>
      <c r="N98" s="149"/>
      <c r="O98" s="149"/>
      <c r="P98" s="149"/>
      <c r="Q98" s="149"/>
      <c r="R98" s="149"/>
      <c r="S98" s="149"/>
    </row>
    <row r="99" spans="1:19">
      <c r="A99" s="102"/>
      <c r="B99" s="211"/>
      <c r="G99" s="115" t="s">
        <v>259</v>
      </c>
      <c r="H99" s="154">
        <f t="shared" ref="H99:S99" si="19">H48/ABS(H30+0.000001)</f>
        <v>5000</v>
      </c>
      <c r="I99" s="154">
        <f t="shared" si="19"/>
        <v>5000</v>
      </c>
      <c r="J99" s="154">
        <f t="shared" si="19"/>
        <v>5000</v>
      </c>
      <c r="K99" s="154">
        <f t="shared" si="19"/>
        <v>5000</v>
      </c>
      <c r="L99" s="154">
        <f t="shared" si="19"/>
        <v>0</v>
      </c>
      <c r="M99" s="154">
        <f t="shared" si="19"/>
        <v>0</v>
      </c>
      <c r="N99" s="154">
        <f t="shared" si="19"/>
        <v>0</v>
      </c>
      <c r="O99" s="154">
        <f t="shared" si="19"/>
        <v>0</v>
      </c>
      <c r="P99" s="154">
        <f t="shared" si="19"/>
        <v>0</v>
      </c>
      <c r="Q99" s="154">
        <f t="shared" si="19"/>
        <v>0</v>
      </c>
      <c r="R99" s="154">
        <f t="shared" si="19"/>
        <v>0</v>
      </c>
      <c r="S99" s="154">
        <f t="shared" si="19"/>
        <v>0</v>
      </c>
    </row>
    <row r="100" spans="1:19">
      <c r="G100" s="115" t="s">
        <v>259</v>
      </c>
      <c r="H100" s="227">
        <f t="shared" ref="H100:S100" si="20">H46/ABS(H32+0.000001)</f>
        <v>9.9999998000000053E-5</v>
      </c>
      <c r="I100" s="227">
        <f t="shared" si="20"/>
        <v>9.9999998000000053E-5</v>
      </c>
      <c r="J100" s="227">
        <f t="shared" si="20"/>
        <v>1.0000000200000004E-4</v>
      </c>
      <c r="K100" s="227">
        <f t="shared" si="20"/>
        <v>1.0000000200000004E-4</v>
      </c>
      <c r="L100" s="227">
        <f t="shared" si="20"/>
        <v>0</v>
      </c>
      <c r="M100" s="227">
        <f t="shared" si="20"/>
        <v>0</v>
      </c>
      <c r="N100" s="227">
        <f t="shared" si="20"/>
        <v>0</v>
      </c>
      <c r="O100" s="227">
        <f t="shared" si="20"/>
        <v>0</v>
      </c>
      <c r="P100" s="227">
        <f t="shared" si="20"/>
        <v>0</v>
      </c>
      <c r="Q100" s="227">
        <f t="shared" si="20"/>
        <v>0</v>
      </c>
      <c r="R100" s="227">
        <f t="shared" si="20"/>
        <v>0</v>
      </c>
      <c r="S100" s="227">
        <f t="shared" si="20"/>
        <v>0</v>
      </c>
    </row>
    <row r="101" spans="1:19">
      <c r="G101" s="81" t="s">
        <v>257</v>
      </c>
      <c r="H101" s="226">
        <f>IF(MIN(H99,H100)&gt;1,0,MIN(H99,H100))</f>
        <v>9.9999998000000053E-5</v>
      </c>
      <c r="I101" s="226">
        <f t="shared" ref="I101:S101" si="21">IF(MIN(I99,I100)&gt;1,0,MIN(I99,I100))</f>
        <v>9.9999998000000053E-5</v>
      </c>
      <c r="J101" s="226">
        <f t="shared" si="21"/>
        <v>1.0000000200000004E-4</v>
      </c>
      <c r="K101" s="226">
        <f t="shared" si="21"/>
        <v>1.0000000200000004E-4</v>
      </c>
      <c r="L101" s="226">
        <f t="shared" si="21"/>
        <v>0</v>
      </c>
      <c r="M101" s="226">
        <f t="shared" si="21"/>
        <v>0</v>
      </c>
      <c r="N101" s="226">
        <f t="shared" si="21"/>
        <v>0</v>
      </c>
      <c r="O101" s="226">
        <f t="shared" si="21"/>
        <v>0</v>
      </c>
      <c r="P101" s="226">
        <f t="shared" si="21"/>
        <v>0</v>
      </c>
      <c r="Q101" s="226">
        <f t="shared" si="21"/>
        <v>0</v>
      </c>
      <c r="R101" s="226">
        <f t="shared" si="21"/>
        <v>0</v>
      </c>
      <c r="S101" s="226">
        <f t="shared" si="21"/>
        <v>0</v>
      </c>
    </row>
    <row r="102" spans="1:19">
      <c r="H102" s="81" t="s">
        <v>263</v>
      </c>
    </row>
    <row r="103" spans="1:19">
      <c r="G103" s="149" t="s">
        <v>259</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c r="G104" s="149" t="s">
        <v>259</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G105" s="81" t="s">
        <v>257</v>
      </c>
      <c r="H105" s="226">
        <f>IF(MIN(H103,H104)&gt;1,0,MIN(H103,H104))</f>
        <v>9.9999998000000053E-5</v>
      </c>
      <c r="I105" s="226">
        <f t="shared" ref="I105:S105" si="24">IF(MIN(I103,I104)&gt;1,0,MIN(I103,I104))</f>
        <v>1.0000000200000004E-4</v>
      </c>
      <c r="J105" s="226">
        <f t="shared" si="24"/>
        <v>1.0000000200000004E-4</v>
      </c>
      <c r="K105" s="226">
        <f t="shared" si="24"/>
        <v>9.9999998000000053E-5</v>
      </c>
      <c r="L105" s="226">
        <f t="shared" si="24"/>
        <v>0</v>
      </c>
      <c r="M105" s="226">
        <f t="shared" si="24"/>
        <v>0</v>
      </c>
      <c r="N105" s="226">
        <f t="shared" si="24"/>
        <v>0</v>
      </c>
      <c r="O105" s="226">
        <f t="shared" si="24"/>
        <v>0</v>
      </c>
      <c r="P105" s="226">
        <f t="shared" si="24"/>
        <v>0</v>
      </c>
      <c r="Q105" s="226">
        <f t="shared" si="24"/>
        <v>0</v>
      </c>
      <c r="R105" s="226">
        <f t="shared" si="24"/>
        <v>0</v>
      </c>
      <c r="S105" s="226">
        <f t="shared" si="24"/>
        <v>0</v>
      </c>
    </row>
    <row r="107" spans="1:19">
      <c r="G107" s="225" t="s">
        <v>308</v>
      </c>
      <c r="H107" s="225"/>
      <c r="I107" s="225"/>
      <c r="J107" s="225"/>
      <c r="K107" s="225"/>
      <c r="L107" s="225"/>
      <c r="M107" s="225"/>
      <c r="N107" s="225"/>
      <c r="O107" s="225"/>
      <c r="P107" s="225"/>
    </row>
    <row r="108" spans="1:19">
      <c r="H108" s="102" t="s">
        <v>254</v>
      </c>
      <c r="I108" s="102"/>
      <c r="J108" s="102"/>
      <c r="K108" s="102"/>
      <c r="L108" s="102"/>
      <c r="M108" s="102"/>
      <c r="N108" s="102"/>
      <c r="O108" s="102"/>
      <c r="P108" s="102"/>
      <c r="Q108" s="102"/>
      <c r="R108" s="102"/>
      <c r="S108" s="102"/>
    </row>
    <row r="109" spans="1:19">
      <c r="G109" s="149" t="s">
        <v>259</v>
      </c>
      <c r="H109" s="226">
        <f t="shared" ref="H109:S109" si="25">H55/(H32+0.000001)</f>
        <v>0</v>
      </c>
      <c r="I109" s="226">
        <f t="shared" si="25"/>
        <v>0</v>
      </c>
      <c r="J109" s="226">
        <f t="shared" si="25"/>
        <v>0</v>
      </c>
      <c r="K109" s="226">
        <f t="shared" si="25"/>
        <v>0</v>
      </c>
      <c r="L109" s="226">
        <f t="shared" si="25"/>
        <v>0</v>
      </c>
      <c r="M109" s="226">
        <f t="shared" si="25"/>
        <v>0</v>
      </c>
      <c r="N109" s="226">
        <f t="shared" si="25"/>
        <v>0</v>
      </c>
      <c r="O109" s="226">
        <f t="shared" si="25"/>
        <v>0</v>
      </c>
      <c r="P109" s="226">
        <f t="shared" si="25"/>
        <v>0</v>
      </c>
      <c r="Q109" s="226">
        <f t="shared" si="25"/>
        <v>0</v>
      </c>
      <c r="R109" s="226">
        <f t="shared" si="25"/>
        <v>0</v>
      </c>
      <c r="S109" s="226">
        <f t="shared" si="25"/>
        <v>0</v>
      </c>
    </row>
    <row r="110" spans="1:19">
      <c r="G110" s="149" t="s">
        <v>259</v>
      </c>
      <c r="H110" s="228">
        <f t="shared" ref="H110:S110" si="26">H56/(H31+0.000001)</f>
        <v>0</v>
      </c>
      <c r="I110" s="228">
        <f t="shared" si="26"/>
        <v>0</v>
      </c>
      <c r="J110" s="228">
        <f t="shared" si="26"/>
        <v>0</v>
      </c>
      <c r="K110" s="228">
        <f t="shared" si="26"/>
        <v>0</v>
      </c>
      <c r="L110" s="228">
        <f t="shared" si="26"/>
        <v>0</v>
      </c>
      <c r="M110" s="228">
        <f t="shared" si="26"/>
        <v>0</v>
      </c>
      <c r="N110" s="228">
        <f t="shared" si="26"/>
        <v>0</v>
      </c>
      <c r="O110" s="228">
        <f t="shared" si="26"/>
        <v>0</v>
      </c>
      <c r="P110" s="228">
        <f t="shared" si="26"/>
        <v>0</v>
      </c>
      <c r="Q110" s="228">
        <f t="shared" si="26"/>
        <v>0</v>
      </c>
      <c r="R110" s="228">
        <f t="shared" si="26"/>
        <v>0</v>
      </c>
      <c r="S110" s="228">
        <f t="shared" si="26"/>
        <v>0</v>
      </c>
    </row>
    <row r="111" spans="1:19">
      <c r="G111" s="81" t="s">
        <v>258</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c r="G112" s="81" t="s">
        <v>257</v>
      </c>
      <c r="H112" s="226">
        <f>IF(H111*MIN(ABS(H109),ABS(H110))&gt;1,0,H111*MIN(ABS(H109),ABS(H110)))</f>
        <v>0</v>
      </c>
      <c r="I112" s="226">
        <f t="shared" ref="I112:S112" si="28">IF(I111*MIN(ABS(I109),ABS(I110))&gt;1,0,I111*MIN(ABS(I109),ABS(I110)))</f>
        <v>0</v>
      </c>
      <c r="J112" s="226">
        <f t="shared" si="28"/>
        <v>0</v>
      </c>
      <c r="K112" s="226">
        <f t="shared" si="28"/>
        <v>0</v>
      </c>
      <c r="L112" s="226">
        <f t="shared" si="28"/>
        <v>0</v>
      </c>
      <c r="M112" s="226">
        <f t="shared" si="28"/>
        <v>0</v>
      </c>
      <c r="N112" s="226">
        <f t="shared" si="28"/>
        <v>0</v>
      </c>
      <c r="O112" s="226">
        <f t="shared" si="28"/>
        <v>0</v>
      </c>
      <c r="P112" s="226">
        <f t="shared" si="28"/>
        <v>0</v>
      </c>
      <c r="Q112" s="226">
        <f t="shared" si="28"/>
        <v>0</v>
      </c>
      <c r="R112" s="226">
        <f t="shared" si="28"/>
        <v>0</v>
      </c>
      <c r="S112" s="226">
        <f t="shared" si="28"/>
        <v>0</v>
      </c>
    </row>
    <row r="113" spans="7:19">
      <c r="H113" s="102" t="s">
        <v>255</v>
      </c>
      <c r="I113" s="102"/>
      <c r="J113" s="102"/>
      <c r="K113" s="102"/>
      <c r="L113" s="102"/>
      <c r="M113" s="102"/>
      <c r="N113" s="102"/>
      <c r="O113" s="102"/>
      <c r="P113" s="102"/>
      <c r="Q113" s="102"/>
      <c r="R113" s="102"/>
      <c r="S113" s="102"/>
    </row>
    <row r="114" spans="7:19">
      <c r="G114" s="115" t="s">
        <v>259</v>
      </c>
      <c r="H114" s="154">
        <f t="shared" ref="H114:S114" si="29">-H56/(H30+0.000001)</f>
        <v>0</v>
      </c>
      <c r="I114" s="154">
        <f t="shared" si="29"/>
        <v>0</v>
      </c>
      <c r="J114" s="154">
        <f t="shared" si="29"/>
        <v>0</v>
      </c>
      <c r="K114" s="154">
        <f t="shared" si="29"/>
        <v>0</v>
      </c>
      <c r="L114" s="154">
        <f t="shared" si="29"/>
        <v>0</v>
      </c>
      <c r="M114" s="154">
        <f t="shared" si="29"/>
        <v>0</v>
      </c>
      <c r="N114" s="154">
        <f t="shared" si="29"/>
        <v>0</v>
      </c>
      <c r="O114" s="154">
        <f t="shared" si="29"/>
        <v>0</v>
      </c>
      <c r="P114" s="154">
        <f t="shared" si="29"/>
        <v>0</v>
      </c>
      <c r="Q114" s="154">
        <f t="shared" si="29"/>
        <v>0</v>
      </c>
      <c r="R114" s="154">
        <f t="shared" si="29"/>
        <v>0</v>
      </c>
      <c r="S114" s="154">
        <f t="shared" si="29"/>
        <v>0</v>
      </c>
    </row>
    <row r="115" spans="7:19">
      <c r="G115" s="115" t="s">
        <v>259</v>
      </c>
      <c r="H115" s="154">
        <f t="shared" ref="H115:S115" si="30">H54/(H32+0.000001)</f>
        <v>0</v>
      </c>
      <c r="I115" s="154">
        <f t="shared" si="30"/>
        <v>0</v>
      </c>
      <c r="J115" s="154">
        <f t="shared" si="30"/>
        <v>0</v>
      </c>
      <c r="K115" s="154">
        <f t="shared" si="30"/>
        <v>0</v>
      </c>
      <c r="L115" s="154">
        <f t="shared" si="30"/>
        <v>0</v>
      </c>
      <c r="M115" s="154">
        <f t="shared" si="30"/>
        <v>0</v>
      </c>
      <c r="N115" s="154">
        <f t="shared" si="30"/>
        <v>0</v>
      </c>
      <c r="O115" s="154">
        <f t="shared" si="30"/>
        <v>0</v>
      </c>
      <c r="P115" s="154">
        <f t="shared" si="30"/>
        <v>0</v>
      </c>
      <c r="Q115" s="154">
        <f t="shared" si="30"/>
        <v>0</v>
      </c>
      <c r="R115" s="154">
        <f t="shared" si="30"/>
        <v>0</v>
      </c>
      <c r="S115" s="154">
        <f t="shared" si="30"/>
        <v>0</v>
      </c>
    </row>
    <row r="116" spans="7:19">
      <c r="G116" s="154" t="s">
        <v>258</v>
      </c>
      <c r="H116" s="229">
        <f>SIGN(H114+0.000000000001)*SIGN(H115+0.000000000001)</f>
        <v>1</v>
      </c>
      <c r="I116" s="229">
        <f t="shared" ref="I116:S116" si="31">SIGN(I114+0.000000000001)*SIGN(I115+0.000000000001)</f>
        <v>1</v>
      </c>
      <c r="J116" s="229">
        <f t="shared" si="31"/>
        <v>1</v>
      </c>
      <c r="K116" s="229">
        <f t="shared" si="31"/>
        <v>1</v>
      </c>
      <c r="L116" s="229">
        <f t="shared" si="31"/>
        <v>1</v>
      </c>
      <c r="M116" s="229">
        <f t="shared" si="31"/>
        <v>1</v>
      </c>
      <c r="N116" s="229">
        <f t="shared" si="31"/>
        <v>1</v>
      </c>
      <c r="O116" s="229">
        <f t="shared" si="31"/>
        <v>1</v>
      </c>
      <c r="P116" s="229">
        <f t="shared" si="31"/>
        <v>1</v>
      </c>
      <c r="Q116" s="229">
        <f t="shared" si="31"/>
        <v>1</v>
      </c>
      <c r="R116" s="229">
        <f t="shared" si="31"/>
        <v>1</v>
      </c>
      <c r="S116" s="229">
        <f t="shared" si="31"/>
        <v>1</v>
      </c>
    </row>
    <row r="117" spans="7:19">
      <c r="G117" s="154" t="s">
        <v>257</v>
      </c>
      <c r="H117" s="230">
        <f>IF(H116*MIN(ABS(H114),ABS(H115))&gt;1,0,H116*MIN(ABS(H114),ABS(H115)))</f>
        <v>0</v>
      </c>
      <c r="I117" s="230">
        <f t="shared" ref="I117:S117" si="32">IF(I116*MIN(ABS(I114),ABS(I115))&gt;1,0,I116*MIN(ABS(I114),ABS(I115)))</f>
        <v>0</v>
      </c>
      <c r="J117" s="230">
        <f t="shared" si="32"/>
        <v>0</v>
      </c>
      <c r="K117" s="230">
        <f t="shared" si="32"/>
        <v>0</v>
      </c>
      <c r="L117" s="230">
        <f t="shared" si="32"/>
        <v>0</v>
      </c>
      <c r="M117" s="230">
        <f t="shared" si="32"/>
        <v>0</v>
      </c>
      <c r="N117" s="230">
        <f t="shared" si="32"/>
        <v>0</v>
      </c>
      <c r="O117" s="230">
        <f t="shared" si="32"/>
        <v>0</v>
      </c>
      <c r="P117" s="230">
        <f t="shared" si="32"/>
        <v>0</v>
      </c>
      <c r="Q117" s="230">
        <f t="shared" si="32"/>
        <v>0</v>
      </c>
      <c r="R117" s="230">
        <f t="shared" si="32"/>
        <v>0</v>
      </c>
      <c r="S117" s="230">
        <f t="shared" si="32"/>
        <v>0</v>
      </c>
    </row>
    <row r="118" spans="7:19">
      <c r="H118" s="102" t="s">
        <v>256</v>
      </c>
      <c r="I118" s="102"/>
      <c r="J118" s="102"/>
      <c r="K118" s="102"/>
      <c r="L118" s="102"/>
      <c r="M118" s="102"/>
      <c r="N118" s="102"/>
      <c r="O118" s="102"/>
      <c r="P118" s="102"/>
      <c r="Q118" s="102"/>
      <c r="R118" s="102"/>
      <c r="S118" s="102"/>
    </row>
    <row r="119" spans="7:19">
      <c r="G119" s="149" t="s">
        <v>259</v>
      </c>
      <c r="H119" s="226">
        <f t="shared" ref="H119:S119" si="33">H55/(H30+0.000001)</f>
        <v>0</v>
      </c>
      <c r="I119" s="226">
        <f t="shared" si="33"/>
        <v>0</v>
      </c>
      <c r="J119" s="226">
        <f t="shared" si="33"/>
        <v>0</v>
      </c>
      <c r="K119" s="226">
        <f t="shared" si="33"/>
        <v>0</v>
      </c>
      <c r="L119" s="226">
        <f t="shared" si="33"/>
        <v>0</v>
      </c>
      <c r="M119" s="226">
        <f t="shared" si="33"/>
        <v>0</v>
      </c>
      <c r="N119" s="226">
        <f t="shared" si="33"/>
        <v>0</v>
      </c>
      <c r="O119" s="226">
        <f t="shared" si="33"/>
        <v>0</v>
      </c>
      <c r="P119" s="226">
        <f t="shared" si="33"/>
        <v>0</v>
      </c>
      <c r="Q119" s="226">
        <f t="shared" si="33"/>
        <v>0</v>
      </c>
      <c r="R119" s="226">
        <f t="shared" si="33"/>
        <v>0</v>
      </c>
      <c r="S119" s="226">
        <f t="shared" si="33"/>
        <v>0</v>
      </c>
    </row>
    <row r="120" spans="7:19">
      <c r="G120" s="149" t="s">
        <v>259</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c r="G121" s="81" t="s">
        <v>258</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c r="G122" s="81" t="s">
        <v>257</v>
      </c>
      <c r="H122" s="226">
        <f>IF(H121*MIN(ABS(H119),ABS(H120))&gt;1,0,H121*MIN(ABS(H119),ABS(H120)))</f>
        <v>0</v>
      </c>
      <c r="I122" s="226">
        <f t="shared" ref="I122:S122" si="36">IF(I121*MIN(ABS(I119),ABS(I120))&gt;1,0,I121*MIN(ABS(I119),ABS(I120)))</f>
        <v>0</v>
      </c>
      <c r="J122" s="226">
        <f t="shared" si="36"/>
        <v>0</v>
      </c>
      <c r="K122" s="226">
        <f t="shared" si="36"/>
        <v>0</v>
      </c>
      <c r="L122" s="226">
        <f t="shared" si="36"/>
        <v>0</v>
      </c>
      <c r="M122" s="226">
        <f t="shared" si="36"/>
        <v>0</v>
      </c>
      <c r="N122" s="226">
        <f t="shared" si="36"/>
        <v>0</v>
      </c>
      <c r="O122" s="226">
        <f t="shared" si="36"/>
        <v>0</v>
      </c>
      <c r="P122" s="226">
        <f t="shared" si="36"/>
        <v>0</v>
      </c>
      <c r="Q122" s="226">
        <f t="shared" si="36"/>
        <v>0</v>
      </c>
      <c r="R122" s="226">
        <f t="shared" si="36"/>
        <v>0</v>
      </c>
      <c r="S122" s="226">
        <f t="shared" si="36"/>
        <v>0</v>
      </c>
    </row>
    <row r="123" spans="7:19">
      <c r="G123" s="149"/>
    </row>
    <row r="124" spans="7:19">
      <c r="H124" s="144"/>
      <c r="I124" s="144"/>
      <c r="J124" s="144"/>
      <c r="K124" s="144"/>
      <c r="L124" s="144"/>
      <c r="M124" s="144"/>
      <c r="N124" s="144"/>
      <c r="O124" s="144"/>
      <c r="P124" s="144"/>
      <c r="Q124" s="144"/>
      <c r="R124" s="144"/>
      <c r="S124" s="144"/>
    </row>
    <row r="125" spans="7:19">
      <c r="H125" s="226"/>
      <c r="I125" s="226"/>
      <c r="J125" s="226"/>
      <c r="K125" s="226"/>
      <c r="L125" s="226"/>
      <c r="M125" s="226"/>
      <c r="N125" s="226"/>
      <c r="O125" s="226"/>
      <c r="P125" s="226"/>
      <c r="Q125" s="226"/>
      <c r="R125" s="226"/>
      <c r="S125" s="226"/>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K13" sqref="K13"/>
    </sheetView>
  </sheetViews>
  <sheetFormatPr baseColWidth="10" defaultColWidth="11" defaultRowHeight="15" x14ac:dyDescent="0"/>
  <cols>
    <col min="1" max="1" width="45.33203125" style="81" customWidth="1"/>
    <col min="2" max="2" width="21.5" style="81" customWidth="1"/>
    <col min="3" max="3" width="40.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Loads'!A144</f>
        <v>CS 5</v>
      </c>
      <c r="B1" s="207" t="str">
        <f>'CSs and Loads'!A154</f>
        <v>Bridge</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82" t="s">
        <v>321</v>
      </c>
      <c r="B4" s="177" t="s">
        <v>337</v>
      </c>
      <c r="C4" s="82" t="s">
        <v>376</v>
      </c>
      <c r="D4" s="169"/>
      <c r="E4" s="248" t="s">
        <v>355</v>
      </c>
      <c r="F4" s="212"/>
      <c r="G4" s="212"/>
      <c r="H4" s="212"/>
      <c r="I4" s="212"/>
      <c r="J4" s="212"/>
      <c r="K4" s="212"/>
      <c r="L4" s="212"/>
      <c r="M4" s="249"/>
      <c r="N4" s="181"/>
      <c r="R4" s="211"/>
    </row>
    <row r="5" spans="1:18">
      <c r="A5" s="114" t="s">
        <v>341</v>
      </c>
      <c r="B5" s="118" t="s">
        <v>342</v>
      </c>
      <c r="C5" s="102" t="s">
        <v>374</v>
      </c>
      <c r="D5" s="169">
        <v>25</v>
      </c>
      <c r="E5" s="182" t="s">
        <v>282</v>
      </c>
      <c r="F5" s="326" t="s">
        <v>285</v>
      </c>
      <c r="G5" s="151">
        <f>(B11^2/(3*B7*B17*B12))*(B12^2-2*B11*B12+B11^2)</f>
        <v>9.918934000131239E-7</v>
      </c>
      <c r="H5" s="81">
        <v>0</v>
      </c>
      <c r="I5" s="81">
        <v>0</v>
      </c>
      <c r="J5" s="81">
        <v>0</v>
      </c>
      <c r="K5" s="81">
        <v>0</v>
      </c>
      <c r="L5" s="152">
        <f>-(B11/(3*B7*B17*B12))*(2*B11^2+B12^2-3*B11*B12)</f>
        <v>-9.1559390770442208E-9</v>
      </c>
      <c r="M5" s="183" t="s">
        <v>276</v>
      </c>
      <c r="N5" s="181"/>
      <c r="R5" s="211"/>
    </row>
    <row r="6" spans="1:18">
      <c r="A6" s="114" t="s">
        <v>344</v>
      </c>
      <c r="B6" s="118" t="s">
        <v>286</v>
      </c>
      <c r="C6" s="102" t="s">
        <v>32</v>
      </c>
      <c r="D6" s="169">
        <f>1770*9.8</f>
        <v>17346</v>
      </c>
      <c r="E6" s="182" t="s">
        <v>283</v>
      </c>
      <c r="F6" s="326"/>
      <c r="G6" s="81">
        <v>0</v>
      </c>
      <c r="H6" s="152">
        <f>1/(B7*B16*(1/B11+1/(B12-B11) ))</f>
        <v>1.3906169979351685E-7</v>
      </c>
      <c r="I6" s="81">
        <v>0</v>
      </c>
      <c r="J6" s="81">
        <v>0</v>
      </c>
      <c r="K6" s="153">
        <v>0</v>
      </c>
      <c r="L6" s="81">
        <v>0</v>
      </c>
      <c r="M6" s="183" t="s">
        <v>277</v>
      </c>
      <c r="N6" s="181"/>
      <c r="R6" s="211"/>
    </row>
    <row r="7" spans="1:18">
      <c r="A7" s="102" t="s">
        <v>291</v>
      </c>
      <c r="B7" s="196">
        <v>69000</v>
      </c>
      <c r="C7" s="102" t="s">
        <v>243</v>
      </c>
      <c r="D7" s="169">
        <f>647*1000</f>
        <v>647000</v>
      </c>
      <c r="E7" s="182" t="s">
        <v>284</v>
      </c>
      <c r="F7" s="326"/>
      <c r="G7" s="81">
        <v>0</v>
      </c>
      <c r="H7" s="81">
        <v>0</v>
      </c>
      <c r="I7" s="152">
        <f>(B11^2/(3*B7*B18*B12))*(B12^2-2*B11*B12+B11^2)</f>
        <v>9.918934000131239E-7</v>
      </c>
      <c r="J7" s="105">
        <f>I8</f>
        <v>2.7467817231132659E-8</v>
      </c>
      <c r="K7" s="153">
        <v>0</v>
      </c>
      <c r="L7" s="81">
        <v>0</v>
      </c>
      <c r="M7" s="183" t="s">
        <v>278</v>
      </c>
      <c r="N7" s="181"/>
      <c r="R7" s="211"/>
    </row>
    <row r="8" spans="1:18">
      <c r="A8" s="102" t="s">
        <v>287</v>
      </c>
      <c r="B8" s="196">
        <v>0.33400000000000002</v>
      </c>
      <c r="C8" s="102" t="s">
        <v>33</v>
      </c>
      <c r="D8" s="169">
        <v>3</v>
      </c>
      <c r="E8" s="182" t="s">
        <v>273</v>
      </c>
      <c r="F8" s="326"/>
      <c r="G8" s="81">
        <v>0</v>
      </c>
      <c r="H8" s="81">
        <v>0</v>
      </c>
      <c r="I8" s="105">
        <f>(B11/(B7*B18*B12))*(2*B11^2-3*B11*B12+B12^2)</f>
        <v>2.7467817231132659E-8</v>
      </c>
      <c r="J8" s="152">
        <f>(1/(3*B7*B18*B12))*(2*B12^2+3*B11^2-3*B11*B12)</f>
        <v>2.0718246757670576E-10</v>
      </c>
      <c r="K8" s="81">
        <v>0</v>
      </c>
      <c r="L8" s="81">
        <v>0</v>
      </c>
      <c r="M8" s="183" t="s">
        <v>279</v>
      </c>
      <c r="N8" s="181"/>
      <c r="R8" s="211"/>
    </row>
    <row r="9" spans="1:18">
      <c r="A9" s="102" t="s">
        <v>292</v>
      </c>
      <c r="B9" s="97">
        <f>B7/(2*(1+B8))</f>
        <v>25862.068965517239</v>
      </c>
      <c r="C9" s="102" t="s">
        <v>34</v>
      </c>
      <c r="D9" s="169">
        <v>0.01</v>
      </c>
      <c r="E9" s="182" t="s">
        <v>275</v>
      </c>
      <c r="F9" s="326"/>
      <c r="G9" s="81">
        <v>0</v>
      </c>
      <c r="H9" s="81">
        <v>0</v>
      </c>
      <c r="I9" s="81">
        <v>0</v>
      </c>
      <c r="J9" s="81">
        <v>0</v>
      </c>
      <c r="K9" s="152">
        <f>(B12/4)/(B9*B19)</f>
        <v>1.5414027088145461E-10</v>
      </c>
      <c r="L9" s="81">
        <v>0</v>
      </c>
      <c r="M9" s="183" t="s">
        <v>280</v>
      </c>
      <c r="N9" s="181"/>
      <c r="R9" s="211"/>
    </row>
    <row r="10" spans="1:18" ht="16" thickBot="1">
      <c r="A10" s="81" t="s">
        <v>346</v>
      </c>
      <c r="B10" s="82"/>
      <c r="C10" s="102" t="s">
        <v>288</v>
      </c>
      <c r="D10" s="239">
        <f>D6/(D8*D9)</f>
        <v>578200</v>
      </c>
      <c r="E10" s="184" t="s">
        <v>274</v>
      </c>
      <c r="F10" s="359"/>
      <c r="G10" s="185">
        <f>L5</f>
        <v>-9.1559390770442208E-9</v>
      </c>
      <c r="H10" s="166">
        <v>0</v>
      </c>
      <c r="I10" s="166">
        <v>0</v>
      </c>
      <c r="J10" s="166">
        <v>0</v>
      </c>
      <c r="K10" s="166">
        <v>0</v>
      </c>
      <c r="L10" s="186">
        <f>(1/(3*B7*B17*B12))*(2*B12^2+3*B11^2-3*B11*B12)</f>
        <v>2.0718246757670576E-10</v>
      </c>
      <c r="M10" s="187" t="s">
        <v>281</v>
      </c>
      <c r="N10" s="181"/>
      <c r="R10" s="211"/>
    </row>
    <row r="11" spans="1:18">
      <c r="A11" s="102" t="s">
        <v>351</v>
      </c>
      <c r="B11" s="290">
        <v>100</v>
      </c>
      <c r="C11" s="102" t="s">
        <v>35</v>
      </c>
      <c r="D11" s="82">
        <v>25</v>
      </c>
      <c r="E11" s="163"/>
      <c r="F11" s="163"/>
      <c r="G11" s="163"/>
      <c r="H11" s="163"/>
      <c r="I11" s="162"/>
      <c r="J11" s="163"/>
      <c r="K11" s="163"/>
      <c r="L11" s="163"/>
      <c r="M11" s="163"/>
      <c r="O11" s="149"/>
      <c r="R11" s="211"/>
    </row>
    <row r="12" spans="1:18">
      <c r="A12" s="102" t="s">
        <v>234</v>
      </c>
      <c r="B12" s="82">
        <v>1400</v>
      </c>
      <c r="C12" s="102" t="s">
        <v>386</v>
      </c>
      <c r="D12" s="101">
        <f>D7*D11^2/4</f>
        <v>101093750</v>
      </c>
      <c r="I12" s="82"/>
      <c r="O12" s="149"/>
      <c r="R12" s="211"/>
    </row>
    <row r="13" spans="1:18">
      <c r="A13" s="102" t="s">
        <v>365</v>
      </c>
      <c r="B13" s="82">
        <f>8*25.4</f>
        <v>203.2</v>
      </c>
      <c r="C13" s="102" t="s">
        <v>289</v>
      </c>
      <c r="D13" s="101">
        <f>D7*D11^2/12</f>
        <v>33697916.666666664</v>
      </c>
      <c r="I13" s="82"/>
      <c r="O13" s="149"/>
      <c r="R13" s="211"/>
    </row>
    <row r="14" spans="1:18">
      <c r="A14" s="102" t="s">
        <v>364</v>
      </c>
      <c r="B14" s="82">
        <f>8*25.4</f>
        <v>203.2</v>
      </c>
      <c r="C14" s="102" t="s">
        <v>290</v>
      </c>
      <c r="D14" s="97">
        <f>D13</f>
        <v>33697916.666666664</v>
      </c>
      <c r="I14" s="82"/>
      <c r="O14" s="149"/>
      <c r="R14" s="211"/>
    </row>
    <row r="15" spans="1:18">
      <c r="A15" s="102" t="s">
        <v>271</v>
      </c>
      <c r="B15" s="82">
        <f>0.5*25.4</f>
        <v>12.7</v>
      </c>
      <c r="C15" s="114" t="s">
        <v>375</v>
      </c>
      <c r="D15" s="82"/>
      <c r="I15" s="82"/>
      <c r="O15" s="149"/>
      <c r="R15" s="211"/>
    </row>
    <row r="16" spans="1:18">
      <c r="A16" s="102" t="s">
        <v>272</v>
      </c>
      <c r="B16" s="97">
        <f>B13*B14-(B13-2*B15)*(B14-2*B15)</f>
        <v>9677.4000000000051</v>
      </c>
      <c r="C16" s="115" t="s">
        <v>267</v>
      </c>
      <c r="D16" s="82"/>
      <c r="I16" s="82"/>
      <c r="O16" s="149"/>
      <c r="R16" s="211"/>
    </row>
    <row r="17" spans="1:19">
      <c r="A17" s="260" t="s">
        <v>400</v>
      </c>
      <c r="B17" s="98">
        <f>(B14^3*B13-(B13-2*B15)*(B14-2*B15)^3)/12</f>
        <v>58792688.866000019</v>
      </c>
      <c r="C17" s="116" t="s">
        <v>269</v>
      </c>
      <c r="D17" s="82">
        <v>18</v>
      </c>
      <c r="I17" s="82"/>
      <c r="O17" s="149"/>
      <c r="R17" s="211"/>
    </row>
    <row r="18" spans="1:19">
      <c r="A18" s="260" t="s">
        <v>401</v>
      </c>
      <c r="B18" s="98">
        <f>(B14*B13^3-(B13-2*B15)^3*(B14-2*B15))/12</f>
        <v>58792688.866000019</v>
      </c>
      <c r="C18" s="116" t="s">
        <v>234</v>
      </c>
      <c r="D18" s="82">
        <v>2500</v>
      </c>
      <c r="I18" s="82"/>
      <c r="O18" s="149"/>
      <c r="R18" s="211"/>
    </row>
    <row r="19" spans="1:19">
      <c r="A19" s="102" t="s">
        <v>236</v>
      </c>
      <c r="B19" s="98">
        <f>2*B15*B15*(B13-B15)^2*(B14-B15)^2/(B13*B15+B14*B15-2*B15^2)</f>
        <v>87798816.337500006</v>
      </c>
      <c r="C19" s="102" t="s">
        <v>54</v>
      </c>
      <c r="D19" s="117">
        <v>200000</v>
      </c>
      <c r="I19" s="82"/>
      <c r="O19" s="149"/>
      <c r="R19" s="211"/>
    </row>
    <row r="20" spans="1:19">
      <c r="A20" s="102" t="s">
        <v>339</v>
      </c>
      <c r="B20" s="97">
        <f>B18/B16</f>
        <v>6075.2566666666653</v>
      </c>
      <c r="C20" s="116" t="s">
        <v>268</v>
      </c>
      <c r="D20" s="98">
        <f>PI()*D17^2/4*D19/D18</f>
        <v>20357.520395261861</v>
      </c>
      <c r="I20" s="82"/>
      <c r="O20" s="149"/>
      <c r="R20" s="211"/>
    </row>
    <row r="21" spans="1:19" ht="16" thickBot="1">
      <c r="A21" s="241" t="s">
        <v>314</v>
      </c>
      <c r="B21" s="247">
        <f>48*B7*B18/B12^3</f>
        <v>70962.60405400586</v>
      </c>
      <c r="C21" s="241" t="s">
        <v>320</v>
      </c>
      <c r="D21" s="231">
        <v>3</v>
      </c>
      <c r="E21" s="176"/>
      <c r="F21" s="176"/>
      <c r="G21" s="176"/>
      <c r="H21" s="176"/>
      <c r="I21" s="231"/>
      <c r="J21" s="176"/>
      <c r="K21" s="176"/>
      <c r="L21" s="176"/>
      <c r="M21" s="176"/>
      <c r="O21" s="149"/>
      <c r="R21" s="211"/>
    </row>
    <row r="22" spans="1:19" ht="16" thickBot="1">
      <c r="A22" s="356" t="s">
        <v>361</v>
      </c>
      <c r="B22" s="357"/>
      <c r="C22" s="357"/>
      <c r="D22" s="357"/>
      <c r="E22" s="357"/>
      <c r="F22" s="357"/>
      <c r="G22" s="357"/>
      <c r="H22" s="357"/>
      <c r="I22" s="357"/>
      <c r="J22" s="357"/>
      <c r="K22" s="357"/>
      <c r="L22" s="357"/>
      <c r="M22" s="358"/>
      <c r="N22" s="181"/>
      <c r="O22" s="149"/>
      <c r="R22" s="211"/>
    </row>
    <row r="23" spans="1:19" ht="30">
      <c r="A23" s="274" t="s">
        <v>381</v>
      </c>
      <c r="B23" s="234"/>
      <c r="C23" s="242" t="s">
        <v>265</v>
      </c>
      <c r="D23" s="163"/>
      <c r="E23" s="163"/>
      <c r="F23" s="163"/>
      <c r="G23" s="163"/>
      <c r="H23" s="163"/>
      <c r="I23" s="163"/>
      <c r="J23" s="163"/>
      <c r="K23" s="163"/>
      <c r="L23" s="163"/>
      <c r="M23" s="163"/>
      <c r="O23" s="211"/>
      <c r="P23" s="211"/>
      <c r="Q23" s="211"/>
      <c r="R23" s="211"/>
    </row>
    <row r="24" spans="1:19">
      <c r="A24" s="102" t="s">
        <v>3</v>
      </c>
      <c r="B24" s="107"/>
      <c r="C24" s="154"/>
      <c r="O24" s="211"/>
      <c r="P24" s="211"/>
      <c r="Q24" s="211"/>
      <c r="R24" s="211"/>
    </row>
    <row r="25" spans="1:19">
      <c r="A25" s="219" t="s">
        <v>117</v>
      </c>
      <c r="B25" s="152">
        <f>SUM(H34:S34)+C25</f>
        <v>4000000</v>
      </c>
      <c r="C25" s="220">
        <v>0</v>
      </c>
      <c r="G25" s="244" t="s">
        <v>185</v>
      </c>
      <c r="O25" s="211"/>
      <c r="P25" s="211"/>
      <c r="Q25" s="211"/>
      <c r="R25" s="211"/>
    </row>
    <row r="26" spans="1:19">
      <c r="A26" s="219" t="s">
        <v>118</v>
      </c>
      <c r="B26" s="152">
        <f>SUM(H35:S35)+C26</f>
        <v>4000000</v>
      </c>
      <c r="C26" s="220">
        <v>0</v>
      </c>
      <c r="G26" s="82" t="s">
        <v>124</v>
      </c>
      <c r="O26" s="211"/>
      <c r="P26" s="211"/>
      <c r="Q26" s="211"/>
      <c r="R26" s="211"/>
    </row>
    <row r="27" spans="1:19">
      <c r="A27" s="219" t="s">
        <v>119</v>
      </c>
      <c r="B27" s="152">
        <f>SUM(H36:S36)+C27</f>
        <v>4000000</v>
      </c>
      <c r="C27" s="220">
        <v>0</v>
      </c>
      <c r="G27" s="214" t="s">
        <v>133</v>
      </c>
      <c r="H27" s="215">
        <v>4</v>
      </c>
      <c r="O27" s="211"/>
      <c r="P27" s="211"/>
      <c r="Q27" s="211"/>
      <c r="R27" s="211"/>
    </row>
    <row r="28" spans="1:19">
      <c r="A28" s="102" t="s">
        <v>115</v>
      </c>
      <c r="B28" s="107"/>
      <c r="C28" s="200"/>
      <c r="H28" s="347" t="s">
        <v>129</v>
      </c>
      <c r="I28" s="347"/>
      <c r="J28" s="347"/>
      <c r="K28" s="347"/>
      <c r="L28" s="347"/>
      <c r="M28" s="347"/>
      <c r="N28" s="347"/>
      <c r="O28" s="347"/>
      <c r="P28" s="347"/>
      <c r="Q28" s="347"/>
      <c r="R28" s="347"/>
      <c r="S28" s="347"/>
    </row>
    <row r="29" spans="1:19">
      <c r="A29" s="219" t="s">
        <v>8</v>
      </c>
      <c r="B29" s="152">
        <f>SUM(H38:S38)+SUM(H42:S42)+C29</f>
        <v>10004000000</v>
      </c>
      <c r="C29" s="220">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c r="A30" s="219" t="s">
        <v>120</v>
      </c>
      <c r="B30" s="152">
        <f>SUM(H39:S39)+SUM(H43:S43)+C30</f>
        <v>20004000000</v>
      </c>
      <c r="C30" s="220">
        <v>0</v>
      </c>
      <c r="G30" s="102" t="s">
        <v>42</v>
      </c>
      <c r="H30" s="215">
        <v>50</v>
      </c>
      <c r="I30" s="215">
        <v>-50</v>
      </c>
      <c r="J30" s="215">
        <v>-50</v>
      </c>
      <c r="K30" s="215">
        <v>50</v>
      </c>
      <c r="L30" s="215">
        <v>0</v>
      </c>
      <c r="M30" s="215">
        <v>0</v>
      </c>
      <c r="N30" s="215">
        <v>0</v>
      </c>
      <c r="O30" s="215">
        <v>0</v>
      </c>
      <c r="P30" s="215">
        <v>0</v>
      </c>
      <c r="Q30" s="215">
        <v>0</v>
      </c>
      <c r="R30" s="215">
        <v>0</v>
      </c>
      <c r="S30" s="215">
        <v>0</v>
      </c>
    </row>
    <row r="31" spans="1:19">
      <c r="A31" s="219" t="s">
        <v>116</v>
      </c>
      <c r="B31" s="152">
        <f>SUM(H40:S40)+SUM(H44:S44)+C31</f>
        <v>10004000000</v>
      </c>
      <c r="C31" s="220">
        <v>0</v>
      </c>
      <c r="G31" s="102" t="s">
        <v>43</v>
      </c>
      <c r="H31" s="215">
        <v>0</v>
      </c>
      <c r="I31" s="215">
        <v>0</v>
      </c>
      <c r="J31" s="215">
        <v>0</v>
      </c>
      <c r="K31" s="215">
        <v>0</v>
      </c>
      <c r="L31" s="215">
        <v>0</v>
      </c>
      <c r="M31" s="215">
        <v>0</v>
      </c>
      <c r="N31" s="215">
        <v>0</v>
      </c>
      <c r="O31" s="215">
        <v>0</v>
      </c>
      <c r="P31" s="215">
        <v>0</v>
      </c>
      <c r="Q31" s="215">
        <v>0</v>
      </c>
      <c r="R31" s="215">
        <v>0</v>
      </c>
      <c r="S31" s="215">
        <v>0</v>
      </c>
    </row>
    <row r="32" spans="1:19">
      <c r="A32" s="348" t="s">
        <v>190</v>
      </c>
      <c r="B32" s="348"/>
      <c r="C32" s="348"/>
      <c r="G32" s="102" t="s">
        <v>44</v>
      </c>
      <c r="H32" s="215">
        <v>50</v>
      </c>
      <c r="I32" s="215">
        <v>50</v>
      </c>
      <c r="J32" s="215">
        <v>-50</v>
      </c>
      <c r="K32" s="215">
        <v>-50</v>
      </c>
      <c r="L32" s="215">
        <v>0</v>
      </c>
      <c r="M32" s="215">
        <v>0</v>
      </c>
      <c r="N32" s="215">
        <v>0</v>
      </c>
      <c r="O32" s="215">
        <v>0</v>
      </c>
      <c r="P32" s="215">
        <v>0</v>
      </c>
      <c r="Q32" s="215">
        <v>0</v>
      </c>
      <c r="R32" s="215">
        <v>0</v>
      </c>
      <c r="S32" s="215">
        <v>0</v>
      </c>
    </row>
    <row r="33" spans="1:19">
      <c r="A33" s="348"/>
      <c r="B33" s="348"/>
      <c r="C33" s="348"/>
      <c r="G33" s="82" t="s">
        <v>130</v>
      </c>
      <c r="H33" s="349" t="s">
        <v>385</v>
      </c>
      <c r="I33" s="349"/>
      <c r="J33" s="349"/>
      <c r="K33" s="349"/>
    </row>
    <row r="34" spans="1:19">
      <c r="A34" s="348"/>
      <c r="B34" s="348"/>
      <c r="C34" s="348"/>
      <c r="G34" s="102" t="s">
        <v>117</v>
      </c>
      <c r="H34" s="142">
        <v>1000000</v>
      </c>
      <c r="I34" s="142">
        <v>1000000</v>
      </c>
      <c r="J34" s="142">
        <v>1000000</v>
      </c>
      <c r="K34" s="142">
        <v>1000000</v>
      </c>
      <c r="L34" s="215">
        <v>0</v>
      </c>
      <c r="M34" s="215">
        <v>0</v>
      </c>
      <c r="N34" s="215">
        <v>0</v>
      </c>
      <c r="O34" s="215">
        <v>0</v>
      </c>
      <c r="P34" s="215">
        <v>0</v>
      </c>
      <c r="Q34" s="215">
        <v>0</v>
      </c>
      <c r="R34" s="215">
        <v>0</v>
      </c>
      <c r="S34" s="215">
        <v>0</v>
      </c>
    </row>
    <row r="35" spans="1:19">
      <c r="A35" s="222" t="s">
        <v>186</v>
      </c>
      <c r="B35" s="215"/>
      <c r="C35" s="215"/>
      <c r="G35" s="102" t="s">
        <v>118</v>
      </c>
      <c r="H35" s="142">
        <v>1000000</v>
      </c>
      <c r="I35" s="142">
        <v>1000000</v>
      </c>
      <c r="J35" s="142">
        <v>1000000</v>
      </c>
      <c r="K35" s="142">
        <v>1000000</v>
      </c>
      <c r="L35" s="215">
        <v>0</v>
      </c>
      <c r="M35" s="215">
        <v>0</v>
      </c>
      <c r="N35" s="215">
        <v>0</v>
      </c>
      <c r="O35" s="215">
        <v>0</v>
      </c>
      <c r="P35" s="215">
        <v>0</v>
      </c>
      <c r="Q35" s="215">
        <v>0</v>
      </c>
      <c r="R35" s="215">
        <v>0</v>
      </c>
      <c r="S35" s="215">
        <v>0</v>
      </c>
    </row>
    <row r="36" spans="1:19">
      <c r="A36" s="81" t="s">
        <v>109</v>
      </c>
      <c r="G36" s="102" t="s">
        <v>119</v>
      </c>
      <c r="H36" s="142">
        <v>1000000</v>
      </c>
      <c r="I36" s="142">
        <v>1000000</v>
      </c>
      <c r="J36" s="142">
        <v>1000000</v>
      </c>
      <c r="K36" s="142">
        <v>1000000</v>
      </c>
      <c r="L36" s="215">
        <v>0</v>
      </c>
      <c r="M36" s="215">
        <v>0</v>
      </c>
      <c r="N36" s="215">
        <v>0</v>
      </c>
      <c r="O36" s="215">
        <v>0</v>
      </c>
      <c r="P36" s="215">
        <v>0</v>
      </c>
      <c r="Q36" s="215">
        <v>0</v>
      </c>
      <c r="R36" s="215">
        <v>0</v>
      </c>
      <c r="S36" s="215">
        <v>0</v>
      </c>
    </row>
    <row r="37" spans="1:19">
      <c r="A37" s="102" t="s">
        <v>187</v>
      </c>
      <c r="B37" s="215">
        <v>0</v>
      </c>
      <c r="G37" s="82" t="s">
        <v>131</v>
      </c>
      <c r="H37" s="349"/>
      <c r="I37" s="349"/>
      <c r="J37" s="349"/>
      <c r="K37" s="349"/>
    </row>
    <row r="38" spans="1:19">
      <c r="A38" s="102" t="s">
        <v>188</v>
      </c>
      <c r="B38" s="215">
        <v>0</v>
      </c>
      <c r="G38" s="102" t="s">
        <v>8</v>
      </c>
      <c r="H38" s="142">
        <v>1000000</v>
      </c>
      <c r="I38" s="142">
        <v>1000000</v>
      </c>
      <c r="J38" s="142">
        <v>1000000</v>
      </c>
      <c r="K38" s="142">
        <v>1000000</v>
      </c>
      <c r="L38" s="215">
        <v>0</v>
      </c>
      <c r="M38" s="215">
        <v>0</v>
      </c>
      <c r="N38" s="215">
        <v>0</v>
      </c>
      <c r="O38" s="215">
        <v>0</v>
      </c>
      <c r="P38" s="215">
        <v>0</v>
      </c>
      <c r="Q38" s="215">
        <v>0</v>
      </c>
      <c r="R38" s="215">
        <v>0</v>
      </c>
      <c r="S38" s="215">
        <v>0</v>
      </c>
    </row>
    <row r="39" spans="1:19">
      <c r="A39" s="102" t="s">
        <v>189</v>
      </c>
      <c r="B39" s="215">
        <v>0</v>
      </c>
      <c r="G39" s="102" t="s">
        <v>120</v>
      </c>
      <c r="H39" s="142">
        <v>1000000</v>
      </c>
      <c r="I39" s="142">
        <v>1000000</v>
      </c>
      <c r="J39" s="142">
        <v>1000000</v>
      </c>
      <c r="K39" s="142">
        <v>1000000</v>
      </c>
      <c r="L39" s="215">
        <v>0</v>
      </c>
      <c r="M39" s="215">
        <v>0</v>
      </c>
      <c r="N39" s="215">
        <v>0</v>
      </c>
      <c r="O39" s="215">
        <v>0</v>
      </c>
      <c r="P39" s="215">
        <v>0</v>
      </c>
      <c r="Q39" s="215">
        <v>0</v>
      </c>
      <c r="R39" s="215">
        <v>0</v>
      </c>
      <c r="S39" s="215">
        <v>0</v>
      </c>
    </row>
    <row r="40" spans="1:19">
      <c r="A40" s="149" t="s">
        <v>110</v>
      </c>
      <c r="G40" s="102" t="s">
        <v>116</v>
      </c>
      <c r="H40" s="142">
        <v>1000000</v>
      </c>
      <c r="I40" s="142">
        <v>1000000</v>
      </c>
      <c r="J40" s="142">
        <v>1000000</v>
      </c>
      <c r="K40" s="142">
        <v>1000000</v>
      </c>
      <c r="L40" s="215">
        <v>0</v>
      </c>
      <c r="M40" s="215">
        <v>0</v>
      </c>
      <c r="N40" s="215">
        <v>0</v>
      </c>
      <c r="O40" s="215">
        <v>0</v>
      </c>
      <c r="P40" s="215">
        <v>0</v>
      </c>
      <c r="Q40" s="215">
        <v>0</v>
      </c>
      <c r="R40" s="215">
        <v>0</v>
      </c>
      <c r="S40" s="215">
        <v>0</v>
      </c>
    </row>
    <row r="41" spans="1:19">
      <c r="A41" s="102" t="s">
        <v>187</v>
      </c>
      <c r="B41" s="215">
        <v>0</v>
      </c>
      <c r="G41" s="82" t="s">
        <v>125</v>
      </c>
    </row>
    <row r="42" spans="1:19">
      <c r="A42" s="102" t="s">
        <v>188</v>
      </c>
      <c r="B42" s="215">
        <v>0</v>
      </c>
      <c r="D42" s="87"/>
      <c r="E42" s="87"/>
      <c r="F42" s="87"/>
      <c r="G42" s="102" t="s">
        <v>8</v>
      </c>
      <c r="H42" s="152">
        <f>H35*H32^2+H36*H31^2</f>
        <v>2500000000</v>
      </c>
      <c r="I42" s="152">
        <f t="shared" ref="I42:S42" si="1">I35*I32^2+I36*I31^2</f>
        <v>2500000000</v>
      </c>
      <c r="J42" s="152">
        <f t="shared" si="1"/>
        <v>2500000000</v>
      </c>
      <c r="K42" s="152">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c r="A43" s="102" t="s">
        <v>189</v>
      </c>
      <c r="B43" s="215">
        <v>0</v>
      </c>
      <c r="D43" s="87"/>
      <c r="E43" s="87"/>
      <c r="F43" s="87"/>
      <c r="G43" s="102" t="s">
        <v>120</v>
      </c>
      <c r="H43" s="152">
        <f>H34*H32^2+H36*H30^2</f>
        <v>5000000000</v>
      </c>
      <c r="I43" s="152">
        <f t="shared" ref="I43:S43" si="2">I34*I32^2+I36*I30^2</f>
        <v>5000000000</v>
      </c>
      <c r="J43" s="152">
        <f t="shared" si="2"/>
        <v>5000000000</v>
      </c>
      <c r="K43" s="152">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c r="A44" s="216" t="s">
        <v>207</v>
      </c>
      <c r="C44" s="87"/>
      <c r="D44" s="87"/>
      <c r="E44" s="87"/>
      <c r="F44" s="87"/>
      <c r="G44" s="102" t="s">
        <v>116</v>
      </c>
      <c r="H44" s="152">
        <f>H34*H31^2+H35*H30^2</f>
        <v>2500000000</v>
      </c>
      <c r="I44" s="152">
        <f t="shared" ref="I44:S44" si="3">I34*I31^2+I35*I30^2</f>
        <v>2500000000</v>
      </c>
      <c r="J44" s="152">
        <f t="shared" si="3"/>
        <v>2500000000</v>
      </c>
      <c r="K44" s="152">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c r="A45" s="102" t="s">
        <v>121</v>
      </c>
      <c r="B45" s="105">
        <f>SQRT((H46^2+I46^2+J46^2+K46^2+L46^2+M46^2+N46^2+O46^2+P46^2+Q46^2+R46^2+S46^2)/H$27)</f>
        <v>5.0000000000000001E-3</v>
      </c>
      <c r="C45" s="87"/>
      <c r="D45" s="87"/>
      <c r="E45" s="87"/>
      <c r="F45" s="87"/>
      <c r="G45" s="82" t="s">
        <v>307</v>
      </c>
    </row>
    <row r="46" spans="1:19">
      <c r="A46" s="102" t="s">
        <v>122</v>
      </c>
      <c r="B46" s="105">
        <f>SQRT((H47^2+I47^2+J47^2+K47^2+L47^2+M47^2+N47^2+O47^2+P47^2+Q47^2+R47^2+S47^2)/H$27)</f>
        <v>5.0000000000000001E-3</v>
      </c>
      <c r="C46" s="87"/>
      <c r="D46" s="87"/>
      <c r="E46" s="87"/>
      <c r="F46" s="87"/>
      <c r="G46" s="102" t="s">
        <v>121</v>
      </c>
      <c r="H46" s="215">
        <f t="shared" ref="H46:K48" si="4">0.005</f>
        <v>5.0000000000000001E-3</v>
      </c>
      <c r="I46" s="215">
        <f t="shared" si="4"/>
        <v>5.0000000000000001E-3</v>
      </c>
      <c r="J46" s="215">
        <f t="shared" si="4"/>
        <v>5.0000000000000001E-3</v>
      </c>
      <c r="K46" s="215">
        <f t="shared" si="4"/>
        <v>5.0000000000000001E-3</v>
      </c>
      <c r="L46" s="215">
        <v>0</v>
      </c>
      <c r="M46" s="215">
        <v>0</v>
      </c>
      <c r="N46" s="215">
        <v>0</v>
      </c>
      <c r="O46" s="215">
        <v>0</v>
      </c>
      <c r="P46" s="215">
        <v>0</v>
      </c>
      <c r="Q46" s="215">
        <v>0</v>
      </c>
      <c r="R46" s="215">
        <v>0</v>
      </c>
      <c r="S46" s="215">
        <v>0</v>
      </c>
    </row>
    <row r="47" spans="1:19">
      <c r="A47" s="102" t="s">
        <v>123</v>
      </c>
      <c r="B47" s="105">
        <f>SQRT((H48^2+I48^2+J48^2+K48^2+L48^2+M48^2+N48^2+O48^2+P48^2+Q48^2+R48^2+S48^2)/H$27)</f>
        <v>5.0000000000000001E-3</v>
      </c>
      <c r="C47" s="87"/>
      <c r="D47" s="87"/>
      <c r="E47" s="87"/>
      <c r="F47" s="87"/>
      <c r="G47" s="102" t="s">
        <v>122</v>
      </c>
      <c r="H47" s="215">
        <f t="shared" si="4"/>
        <v>5.0000000000000001E-3</v>
      </c>
      <c r="I47" s="215">
        <f t="shared" si="4"/>
        <v>5.0000000000000001E-3</v>
      </c>
      <c r="J47" s="215">
        <f t="shared" si="4"/>
        <v>5.0000000000000001E-3</v>
      </c>
      <c r="K47" s="215">
        <f t="shared" si="4"/>
        <v>5.0000000000000001E-3</v>
      </c>
      <c r="L47" s="215">
        <v>0</v>
      </c>
      <c r="M47" s="215">
        <v>0</v>
      </c>
      <c r="N47" s="215">
        <v>0</v>
      </c>
      <c r="O47" s="215">
        <v>0</v>
      </c>
      <c r="P47" s="215">
        <v>0</v>
      </c>
      <c r="Q47" s="215">
        <v>0</v>
      </c>
      <c r="R47" s="215">
        <v>0</v>
      </c>
      <c r="S47" s="215">
        <v>0</v>
      </c>
    </row>
    <row r="48" spans="1:19">
      <c r="A48" s="102" t="s">
        <v>85</v>
      </c>
      <c r="B48" s="105">
        <f>SQRT((H50^2+I50^2+J50^2+K50^2+L50^2+M50^2+N50^2+O50^2+P50^2+Q50^2+R50^2+S50^2+B37^2)/H$27)</f>
        <v>1.0000000000000007E-4</v>
      </c>
      <c r="G48" s="102" t="s">
        <v>123</v>
      </c>
      <c r="H48" s="215">
        <f t="shared" si="4"/>
        <v>5.0000000000000001E-3</v>
      </c>
      <c r="I48" s="215">
        <f t="shared" si="4"/>
        <v>5.0000000000000001E-3</v>
      </c>
      <c r="J48" s="215">
        <f t="shared" si="4"/>
        <v>5.0000000000000001E-3</v>
      </c>
      <c r="K48" s="215">
        <f t="shared" si="4"/>
        <v>5.0000000000000001E-3</v>
      </c>
      <c r="L48" s="215">
        <v>0</v>
      </c>
      <c r="M48" s="215">
        <v>0</v>
      </c>
      <c r="N48" s="215">
        <v>0</v>
      </c>
      <c r="O48" s="215">
        <v>0</v>
      </c>
      <c r="P48" s="215">
        <v>0</v>
      </c>
      <c r="Q48" s="215">
        <v>0</v>
      </c>
      <c r="R48" s="215">
        <v>0</v>
      </c>
      <c r="S48" s="215">
        <v>0</v>
      </c>
    </row>
    <row r="49" spans="1:20">
      <c r="A49" s="102" t="s">
        <v>86</v>
      </c>
      <c r="B49" s="105">
        <f>SQRT((H51^2+I51^2+J51^2+K51^2+L51^2+M51^2+N51^2+O51^2+P51^2+Q51^2+R51^2+S51^2+B38^2)/H$27)</f>
        <v>9.9999999000000077E-5</v>
      </c>
      <c r="C49" s="87"/>
      <c r="D49" s="87"/>
      <c r="E49" s="87"/>
      <c r="F49" s="87"/>
      <c r="G49" s="82" t="s">
        <v>252</v>
      </c>
    </row>
    <row r="50" spans="1:20">
      <c r="A50" s="102" t="s">
        <v>87</v>
      </c>
      <c r="B50" s="105">
        <f>SQRT((H52^2+I52^2+J52^2+K52^2+L52^2+M52^2+N52^2+O52^2+P52^2+Q52^2+R52^2+S52^2+B39^2)/H$27)</f>
        <v>1.0000000000000007E-4</v>
      </c>
      <c r="C50" s="87"/>
      <c r="D50" s="87"/>
      <c r="E50" s="87"/>
      <c r="F50" s="87"/>
      <c r="G50" s="102" t="s">
        <v>85</v>
      </c>
      <c r="H50" s="152">
        <f>H97</f>
        <v>9.9999998000000053E-5</v>
      </c>
      <c r="I50" s="152">
        <f t="shared" ref="I50:S50" si="5">I97</f>
        <v>9.9999998000000053E-5</v>
      </c>
      <c r="J50" s="152">
        <f t="shared" si="5"/>
        <v>1.0000000200000004E-4</v>
      </c>
      <c r="K50" s="152">
        <f t="shared" si="5"/>
        <v>1.0000000200000004E-4</v>
      </c>
      <c r="L50" s="152">
        <f t="shared" si="5"/>
        <v>0</v>
      </c>
      <c r="M50" s="152">
        <f t="shared" si="5"/>
        <v>0</v>
      </c>
      <c r="N50" s="152">
        <f t="shared" si="5"/>
        <v>0</v>
      </c>
      <c r="O50" s="152">
        <f t="shared" si="5"/>
        <v>0</v>
      </c>
      <c r="P50" s="152">
        <f t="shared" si="5"/>
        <v>0</v>
      </c>
      <c r="Q50" s="152">
        <f t="shared" si="5"/>
        <v>0</v>
      </c>
      <c r="R50" s="152">
        <f t="shared" si="5"/>
        <v>0</v>
      </c>
      <c r="S50" s="152">
        <f t="shared" si="5"/>
        <v>0</v>
      </c>
    </row>
    <row r="51" spans="1:20" ht="45">
      <c r="A51" s="217" t="s">
        <v>208</v>
      </c>
      <c r="B51" s="107"/>
      <c r="C51" s="87"/>
      <c r="D51" s="87"/>
      <c r="E51" s="87"/>
      <c r="F51" s="87"/>
      <c r="G51" s="102" t="s">
        <v>86</v>
      </c>
      <c r="H51" s="152">
        <f>H101</f>
        <v>9.9999998000000053E-5</v>
      </c>
      <c r="I51" s="152">
        <f t="shared" ref="I51:S51" si="6">I101</f>
        <v>9.9999998000000053E-5</v>
      </c>
      <c r="J51" s="152">
        <f t="shared" si="6"/>
        <v>1.0000000200000004E-4</v>
      </c>
      <c r="K51" s="152">
        <f t="shared" si="6"/>
        <v>9.9999998000000053E-5</v>
      </c>
      <c r="L51" s="152">
        <f t="shared" si="6"/>
        <v>0</v>
      </c>
      <c r="M51" s="152">
        <f t="shared" si="6"/>
        <v>0</v>
      </c>
      <c r="N51" s="152">
        <f t="shared" si="6"/>
        <v>0</v>
      </c>
      <c r="O51" s="152">
        <f t="shared" si="6"/>
        <v>0</v>
      </c>
      <c r="P51" s="152">
        <f t="shared" si="6"/>
        <v>0</v>
      </c>
      <c r="Q51" s="152">
        <f t="shared" si="6"/>
        <v>0</v>
      </c>
      <c r="R51" s="152">
        <f t="shared" si="6"/>
        <v>0</v>
      </c>
      <c r="S51" s="152">
        <f t="shared" si="6"/>
        <v>0</v>
      </c>
      <c r="T51" s="83"/>
    </row>
    <row r="52" spans="1:20">
      <c r="A52" s="102" t="s">
        <v>121</v>
      </c>
      <c r="B52" s="105">
        <f>SQRT((H54^2+I54^2+J54^2+K54^2+L54^2+M54^2+N54^2+O54^2+P54^2+Q54^2+R54^2+S54^2)/H$27)</f>
        <v>0</v>
      </c>
      <c r="C52" s="87"/>
      <c r="D52" s="87"/>
      <c r="E52" s="87"/>
      <c r="F52" s="87"/>
      <c r="G52" s="102" t="s">
        <v>87</v>
      </c>
      <c r="H52" s="152">
        <f>H105</f>
        <v>9.9999998000000053E-5</v>
      </c>
      <c r="I52" s="152">
        <f t="shared" ref="I52:S52" si="7">I105</f>
        <v>1.0000000200000004E-4</v>
      </c>
      <c r="J52" s="152">
        <f t="shared" si="7"/>
        <v>1.0000000200000004E-4</v>
      </c>
      <c r="K52" s="152">
        <f t="shared" si="7"/>
        <v>9.9999998000000053E-5</v>
      </c>
      <c r="L52" s="152">
        <f t="shared" si="7"/>
        <v>0</v>
      </c>
      <c r="M52" s="152">
        <f t="shared" si="7"/>
        <v>0</v>
      </c>
      <c r="N52" s="152">
        <f t="shared" si="7"/>
        <v>0</v>
      </c>
      <c r="O52" s="152">
        <f t="shared" si="7"/>
        <v>0</v>
      </c>
      <c r="P52" s="152">
        <f t="shared" si="7"/>
        <v>0</v>
      </c>
      <c r="Q52" s="152">
        <f t="shared" si="7"/>
        <v>0</v>
      </c>
      <c r="R52" s="152">
        <f t="shared" si="7"/>
        <v>0</v>
      </c>
      <c r="S52" s="152">
        <f t="shared" si="7"/>
        <v>0</v>
      </c>
    </row>
    <row r="53" spans="1:20">
      <c r="A53" s="102" t="s">
        <v>122</v>
      </c>
      <c r="B53" s="105">
        <f>SQRT((H55^2+I55^2+J55^2+K55^2+L55^2+M55^2+N55^2+O55^2+P55^2+Q55^2+R55^2+S55^2)/H$27)</f>
        <v>0</v>
      </c>
      <c r="C53" s="87"/>
      <c r="D53" s="87"/>
      <c r="E53" s="87"/>
      <c r="F53" s="87"/>
      <c r="G53" s="82" t="s">
        <v>333</v>
      </c>
    </row>
    <row r="54" spans="1:20">
      <c r="A54" s="102" t="s">
        <v>123</v>
      </c>
      <c r="B54" s="105">
        <f>SQRT((H56^2+I56^2+J56^2+K56^2+L56^2+M56^2+N56^2+O56^2+P56^2+Q56^2+R56^2+S56^2)/H$27)</f>
        <v>0</v>
      </c>
      <c r="C54" s="87"/>
      <c r="D54" s="87"/>
      <c r="E54" s="87"/>
      <c r="F54" s="87"/>
      <c r="G54" s="102" t="s">
        <v>121</v>
      </c>
      <c r="H54" s="215">
        <v>0</v>
      </c>
      <c r="I54" s="215">
        <v>0</v>
      </c>
      <c r="J54" s="215">
        <v>0</v>
      </c>
      <c r="K54" s="215">
        <v>0</v>
      </c>
      <c r="L54" s="215">
        <v>0</v>
      </c>
      <c r="M54" s="215">
        <v>0</v>
      </c>
      <c r="N54" s="215">
        <v>0</v>
      </c>
      <c r="O54" s="215">
        <v>0</v>
      </c>
      <c r="P54" s="215">
        <v>0</v>
      </c>
      <c r="Q54" s="215">
        <v>0</v>
      </c>
      <c r="R54" s="215">
        <v>0</v>
      </c>
      <c r="S54" s="215">
        <v>0</v>
      </c>
    </row>
    <row r="55" spans="1:20">
      <c r="A55" s="102" t="s">
        <v>85</v>
      </c>
      <c r="B55" s="105">
        <f>SQRT((H58^2+I58^2+J58^2+K58^2+L58^2+M58^2+N58^2+O58^2+P58^2+Q58^2+R58^2+S58^2+B41^2)/H$27)</f>
        <v>0</v>
      </c>
      <c r="G55" s="102" t="s">
        <v>122</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SQRT((H59^2+I59^2+J59^2+K59^2+L59^2+M59^2+N59^2+O59^2+P59^2+Q59^2+R59^2+S59^2+B42^2)/H$27)</f>
        <v>0</v>
      </c>
      <c r="D56" s="218"/>
      <c r="E56" s="218"/>
      <c r="F56" s="218"/>
      <c r="G56" s="102" t="s">
        <v>123</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SQRT((H60^2+I60^2+J60^2+K60^2+L60^2+M60^2+N60^2+O60^2+P60^2+Q60^2+R60^2+S60^2+B43^2)/H$27)</f>
        <v>0</v>
      </c>
      <c r="D57" s="154"/>
      <c r="E57" s="154"/>
      <c r="F57" s="154"/>
      <c r="G57" s="82" t="s">
        <v>253</v>
      </c>
    </row>
    <row r="58" spans="1:20">
      <c r="D58" s="220"/>
      <c r="E58" s="220"/>
      <c r="F58" s="220"/>
      <c r="G58" s="102" t="s">
        <v>85</v>
      </c>
      <c r="H58" s="223">
        <f>H112</f>
        <v>0</v>
      </c>
      <c r="I58" s="223">
        <f t="shared" ref="I58:S58" si="8">I112</f>
        <v>0</v>
      </c>
      <c r="J58" s="223">
        <f t="shared" si="8"/>
        <v>0</v>
      </c>
      <c r="K58" s="223">
        <f t="shared" si="8"/>
        <v>0</v>
      </c>
      <c r="L58" s="223">
        <f t="shared" si="8"/>
        <v>0</v>
      </c>
      <c r="M58" s="223">
        <f t="shared" si="8"/>
        <v>0</v>
      </c>
      <c r="N58" s="223">
        <f t="shared" si="8"/>
        <v>0</v>
      </c>
      <c r="O58" s="223">
        <f t="shared" si="8"/>
        <v>0</v>
      </c>
      <c r="P58" s="223">
        <f t="shared" si="8"/>
        <v>0</v>
      </c>
      <c r="Q58" s="223">
        <f t="shared" si="8"/>
        <v>0</v>
      </c>
      <c r="R58" s="223">
        <f t="shared" si="8"/>
        <v>0</v>
      </c>
      <c r="S58" s="223">
        <f t="shared" si="8"/>
        <v>0</v>
      </c>
    </row>
    <row r="59" spans="1:20">
      <c r="D59" s="220"/>
      <c r="E59" s="220"/>
      <c r="F59" s="220"/>
      <c r="G59" s="102" t="s">
        <v>86</v>
      </c>
      <c r="H59" s="223">
        <f>H117</f>
        <v>0</v>
      </c>
      <c r="I59" s="223">
        <f t="shared" ref="I59:S59" si="9">I117</f>
        <v>0</v>
      </c>
      <c r="J59" s="223">
        <f t="shared" si="9"/>
        <v>0</v>
      </c>
      <c r="K59" s="223">
        <f t="shared" si="9"/>
        <v>0</v>
      </c>
      <c r="L59" s="223">
        <f t="shared" si="9"/>
        <v>0</v>
      </c>
      <c r="M59" s="223">
        <f t="shared" si="9"/>
        <v>0</v>
      </c>
      <c r="N59" s="223">
        <f t="shared" si="9"/>
        <v>0</v>
      </c>
      <c r="O59" s="223">
        <f t="shared" si="9"/>
        <v>0</v>
      </c>
      <c r="P59" s="223">
        <f t="shared" si="9"/>
        <v>0</v>
      </c>
      <c r="Q59" s="223">
        <f t="shared" si="9"/>
        <v>0</v>
      </c>
      <c r="R59" s="223">
        <f t="shared" si="9"/>
        <v>0</v>
      </c>
      <c r="S59" s="223">
        <f t="shared" si="9"/>
        <v>0</v>
      </c>
    </row>
    <row r="60" spans="1:20">
      <c r="D60" s="220"/>
      <c r="E60" s="220"/>
      <c r="F60" s="220"/>
      <c r="G60" s="102" t="s">
        <v>87</v>
      </c>
      <c r="H60" s="223">
        <f>H122</f>
        <v>0</v>
      </c>
      <c r="I60" s="223">
        <f t="shared" ref="I60:S60" si="10">I122</f>
        <v>0</v>
      </c>
      <c r="J60" s="223">
        <f t="shared" si="10"/>
        <v>0</v>
      </c>
      <c r="K60" s="223">
        <f t="shared" si="10"/>
        <v>0</v>
      </c>
      <c r="L60" s="223">
        <f t="shared" si="10"/>
        <v>0</v>
      </c>
      <c r="M60" s="223">
        <f t="shared" si="10"/>
        <v>0</v>
      </c>
      <c r="N60" s="223">
        <f t="shared" si="10"/>
        <v>0</v>
      </c>
      <c r="O60" s="223">
        <f t="shared" si="10"/>
        <v>0</v>
      </c>
      <c r="P60" s="223">
        <f t="shared" si="10"/>
        <v>0</v>
      </c>
      <c r="Q60" s="223">
        <f t="shared" si="10"/>
        <v>0</v>
      </c>
      <c r="R60" s="223">
        <f t="shared" si="10"/>
        <v>0</v>
      </c>
      <c r="S60" s="223">
        <f t="shared" si="10"/>
        <v>0</v>
      </c>
    </row>
    <row r="61" spans="1:20">
      <c r="D61" s="200"/>
      <c r="E61" s="200"/>
      <c r="F61" s="200"/>
      <c r="G61" s="216"/>
    </row>
    <row r="62" spans="1:20" s="154" customFormat="1">
      <c r="D62" s="220"/>
      <c r="E62" s="220"/>
      <c r="F62" s="220"/>
      <c r="G62" s="81"/>
      <c r="H62" s="81"/>
      <c r="I62" s="118"/>
      <c r="J62" s="118"/>
      <c r="K62" s="118"/>
      <c r="L62" s="118"/>
      <c r="M62" s="118"/>
      <c r="N62" s="118"/>
      <c r="O62" s="81"/>
    </row>
    <row r="63" spans="1:20" s="154" customFormat="1">
      <c r="D63" s="220"/>
      <c r="E63" s="220"/>
      <c r="F63" s="220"/>
      <c r="G63" s="119"/>
      <c r="H63" s="326"/>
      <c r="I63" s="147"/>
      <c r="J63" s="147"/>
      <c r="K63" s="147"/>
      <c r="L63" s="147"/>
      <c r="M63" s="147"/>
      <c r="N63" s="147"/>
      <c r="O63" s="118"/>
    </row>
    <row r="64" spans="1:20" s="154" customFormat="1">
      <c r="D64" s="220"/>
      <c r="E64" s="220"/>
      <c r="F64" s="220"/>
      <c r="G64" s="119"/>
      <c r="H64" s="326"/>
      <c r="I64" s="147"/>
      <c r="J64" s="147"/>
      <c r="K64" s="147"/>
      <c r="L64" s="147"/>
      <c r="M64" s="147"/>
      <c r="N64" s="147"/>
      <c r="O64" s="118"/>
    </row>
    <row r="65" spans="1:19" s="154" customFormat="1">
      <c r="D65" s="221"/>
      <c r="E65" s="221"/>
      <c r="F65" s="221"/>
      <c r="G65" s="119"/>
      <c r="H65" s="326"/>
      <c r="I65" s="147"/>
      <c r="J65" s="147"/>
      <c r="K65" s="147"/>
      <c r="L65" s="147"/>
      <c r="M65" s="147"/>
      <c r="N65" s="147"/>
      <c r="O65" s="118"/>
    </row>
    <row r="66" spans="1:19" s="154" customFormat="1">
      <c r="D66" s="221"/>
      <c r="E66" s="221"/>
      <c r="F66" s="221"/>
      <c r="G66" s="119"/>
      <c r="H66" s="326"/>
      <c r="I66" s="147"/>
      <c r="J66" s="147"/>
      <c r="K66" s="147"/>
      <c r="L66" s="147"/>
      <c r="M66" s="147"/>
      <c r="N66" s="147"/>
      <c r="O66" s="118"/>
      <c r="S66" s="148">
        <f>N63</f>
        <v>0</v>
      </c>
    </row>
    <row r="67" spans="1:19" s="154" customFormat="1">
      <c r="D67" s="221"/>
      <c r="E67" s="221"/>
      <c r="F67" s="221"/>
      <c r="G67" s="119"/>
      <c r="H67" s="326"/>
      <c r="I67" s="147"/>
      <c r="J67" s="147"/>
      <c r="K67" s="147"/>
      <c r="L67" s="147"/>
      <c r="M67" s="147"/>
      <c r="N67" s="147"/>
      <c r="O67" s="118"/>
    </row>
    <row r="68" spans="1:19" s="154" customFormat="1">
      <c r="D68" s="215"/>
      <c r="E68" s="215"/>
      <c r="F68" s="215"/>
      <c r="G68" s="119"/>
      <c r="H68" s="326"/>
      <c r="I68" s="147"/>
      <c r="J68" s="147"/>
      <c r="K68" s="147"/>
      <c r="L68" s="147"/>
      <c r="M68" s="147"/>
      <c r="N68" s="147"/>
      <c r="O68" s="118"/>
    </row>
    <row r="69" spans="1:19" s="154" customFormat="1">
      <c r="D69" s="81"/>
      <c r="E69" s="81"/>
      <c r="F69" s="81"/>
      <c r="G69" s="119"/>
      <c r="H69" s="195"/>
      <c r="I69" s="224"/>
      <c r="J69" s="224"/>
      <c r="K69" s="224"/>
      <c r="L69" s="224"/>
      <c r="M69" s="224"/>
      <c r="N69" s="224"/>
      <c r="O69" s="118"/>
    </row>
    <row r="70" spans="1:19" s="154" customFormat="1">
      <c r="D70" s="81"/>
      <c r="E70" s="81"/>
      <c r="F70" s="81"/>
      <c r="G70" s="119"/>
      <c r="H70" s="195"/>
      <c r="I70" s="224"/>
      <c r="J70" s="224"/>
      <c r="K70" s="224"/>
      <c r="L70" s="224"/>
      <c r="M70" s="224"/>
      <c r="N70" s="224"/>
      <c r="O70" s="118"/>
    </row>
    <row r="71" spans="1:19" s="154" customFormat="1">
      <c r="D71" s="81"/>
      <c r="E71" s="81"/>
      <c r="F71" s="81"/>
      <c r="G71" s="119"/>
      <c r="H71" s="195"/>
      <c r="I71" s="224"/>
      <c r="J71" s="224"/>
      <c r="K71" s="224"/>
      <c r="L71" s="224"/>
      <c r="M71" s="224"/>
      <c r="N71" s="224"/>
      <c r="O71" s="118"/>
    </row>
    <row r="72" spans="1:19" s="154" customFormat="1">
      <c r="D72" s="81"/>
      <c r="E72" s="81"/>
      <c r="F72" s="81"/>
      <c r="G72" s="119"/>
      <c r="H72" s="195"/>
      <c r="I72" s="224"/>
      <c r="J72" s="224"/>
      <c r="K72" s="224"/>
      <c r="L72" s="224"/>
      <c r="M72" s="224"/>
      <c r="N72" s="224"/>
      <c r="O72" s="118"/>
    </row>
    <row r="73" spans="1:19" s="154" customFormat="1">
      <c r="D73" s="81"/>
      <c r="E73" s="81"/>
      <c r="F73" s="81"/>
      <c r="G73" s="119"/>
      <c r="H73" s="195"/>
      <c r="I73" s="224"/>
      <c r="J73" s="224"/>
      <c r="K73" s="224"/>
      <c r="L73" s="224"/>
      <c r="M73" s="224"/>
      <c r="N73" s="224"/>
      <c r="O73" s="118"/>
    </row>
    <row r="74" spans="1:19" s="154" customFormat="1">
      <c r="D74" s="81"/>
      <c r="E74" s="81"/>
      <c r="F74" s="81"/>
      <c r="G74" s="119"/>
      <c r="H74" s="195"/>
      <c r="I74" s="224"/>
      <c r="J74" s="224"/>
      <c r="K74" s="224"/>
      <c r="L74" s="224"/>
      <c r="M74" s="224"/>
      <c r="N74" s="224"/>
      <c r="O74" s="118"/>
    </row>
    <row r="75" spans="1:19" s="154" customFormat="1">
      <c r="D75" s="81"/>
      <c r="E75" s="81"/>
      <c r="F75" s="81"/>
      <c r="G75" s="119"/>
      <c r="H75" s="195"/>
      <c r="I75" s="224"/>
      <c r="J75" s="224"/>
      <c r="K75" s="224"/>
      <c r="L75" s="224"/>
      <c r="M75" s="224"/>
      <c r="N75" s="224"/>
      <c r="O75" s="118"/>
    </row>
    <row r="76" spans="1:19" s="154" customFormat="1">
      <c r="D76" s="81"/>
      <c r="E76" s="81"/>
      <c r="F76" s="81"/>
      <c r="G76" s="119"/>
      <c r="H76" s="195"/>
      <c r="I76" s="224"/>
      <c r="J76" s="224"/>
      <c r="K76" s="224"/>
      <c r="L76" s="224"/>
      <c r="M76" s="224"/>
      <c r="N76" s="224"/>
      <c r="O76" s="118"/>
    </row>
    <row r="77" spans="1:19" s="154" customFormat="1">
      <c r="A77" s="116"/>
      <c r="B77" s="211"/>
      <c r="G77" s="119"/>
      <c r="H77" s="195"/>
      <c r="I77" s="224"/>
      <c r="J77" s="224"/>
      <c r="K77" s="224"/>
      <c r="L77" s="224"/>
      <c r="M77" s="224"/>
      <c r="N77" s="224"/>
      <c r="O77" s="118"/>
    </row>
    <row r="78" spans="1:19" s="154" customFormat="1">
      <c r="A78" s="116"/>
      <c r="B78" s="211"/>
      <c r="G78" s="119"/>
      <c r="H78" s="195"/>
      <c r="I78" s="224"/>
      <c r="J78" s="224"/>
      <c r="K78" s="224"/>
      <c r="L78" s="224"/>
      <c r="M78" s="224"/>
      <c r="N78" s="224"/>
      <c r="O78" s="118"/>
    </row>
    <row r="79" spans="1:19" s="154" customFormat="1">
      <c r="A79" s="116"/>
      <c r="B79" s="211"/>
      <c r="G79" s="119"/>
      <c r="H79" s="195"/>
      <c r="I79" s="224"/>
      <c r="J79" s="224"/>
      <c r="K79" s="224"/>
      <c r="L79" s="224"/>
      <c r="M79" s="224"/>
      <c r="N79" s="224"/>
      <c r="O79" s="118"/>
    </row>
    <row r="80" spans="1:19" s="154" customFormat="1">
      <c r="A80" s="116"/>
      <c r="B80" s="211"/>
      <c r="G80" s="119"/>
      <c r="H80" s="195"/>
      <c r="I80" s="224"/>
      <c r="J80" s="224"/>
      <c r="K80" s="224"/>
      <c r="L80" s="224"/>
      <c r="M80" s="224"/>
      <c r="N80" s="224"/>
      <c r="O80" s="118"/>
    </row>
    <row r="81" spans="1:19" s="154" customFormat="1">
      <c r="A81" s="116"/>
      <c r="B81" s="211"/>
      <c r="G81" s="119"/>
      <c r="H81" s="195"/>
      <c r="I81" s="224"/>
      <c r="J81" s="224"/>
      <c r="K81" s="224"/>
      <c r="L81" s="224"/>
      <c r="M81" s="224"/>
      <c r="N81" s="224"/>
      <c r="O81" s="118"/>
    </row>
    <row r="82" spans="1:19" s="154" customFormat="1">
      <c r="A82" s="116"/>
      <c r="B82" s="211"/>
      <c r="G82" s="119"/>
      <c r="H82" s="195"/>
      <c r="I82" s="224"/>
      <c r="J82" s="224"/>
      <c r="K82" s="224"/>
      <c r="L82" s="224"/>
      <c r="M82" s="224"/>
      <c r="N82" s="224"/>
      <c r="O82" s="118"/>
    </row>
    <row r="83" spans="1:19" s="154" customFormat="1">
      <c r="A83" s="116"/>
      <c r="B83" s="211"/>
      <c r="G83" s="119"/>
      <c r="H83" s="195"/>
      <c r="I83" s="224"/>
      <c r="J83" s="224"/>
      <c r="K83" s="224"/>
      <c r="L83" s="224"/>
      <c r="M83" s="224"/>
      <c r="N83" s="224"/>
      <c r="O83" s="118"/>
    </row>
    <row r="84" spans="1:19" s="154" customFormat="1">
      <c r="A84" s="116"/>
      <c r="B84" s="211"/>
      <c r="G84" s="119"/>
      <c r="H84" s="195"/>
      <c r="I84" s="224"/>
      <c r="J84" s="224"/>
      <c r="K84" s="224"/>
      <c r="L84" s="224"/>
      <c r="M84" s="224"/>
      <c r="N84" s="224"/>
      <c r="O84" s="118"/>
    </row>
    <row r="85" spans="1:19" s="154" customFormat="1">
      <c r="A85" s="116"/>
      <c r="B85" s="211"/>
      <c r="G85" s="119"/>
      <c r="H85" s="195"/>
      <c r="I85" s="224"/>
      <c r="J85" s="224"/>
      <c r="K85" s="224"/>
      <c r="L85" s="224"/>
      <c r="M85" s="224"/>
      <c r="N85" s="224"/>
      <c r="O85" s="118"/>
    </row>
    <row r="86" spans="1:19" s="154" customFormat="1">
      <c r="A86" s="116"/>
      <c r="B86" s="211"/>
      <c r="G86" s="119"/>
      <c r="H86" s="195"/>
      <c r="I86" s="224"/>
      <c r="J86" s="224"/>
      <c r="K86" s="224"/>
      <c r="L86" s="224"/>
      <c r="M86" s="224"/>
      <c r="N86" s="224"/>
      <c r="O86" s="118"/>
    </row>
    <row r="87" spans="1:19" s="154" customFormat="1">
      <c r="A87" s="116"/>
      <c r="B87" s="211"/>
      <c r="G87" s="119"/>
      <c r="H87" s="195"/>
      <c r="I87" s="224"/>
      <c r="J87" s="224"/>
      <c r="K87" s="224"/>
      <c r="L87" s="224"/>
      <c r="M87" s="224"/>
      <c r="N87" s="224"/>
      <c r="O87" s="118"/>
    </row>
    <row r="88" spans="1:19" s="154" customFormat="1">
      <c r="A88" s="116"/>
      <c r="B88" s="211"/>
      <c r="G88" s="119"/>
      <c r="H88" s="195"/>
      <c r="I88" s="224"/>
      <c r="J88" s="224"/>
      <c r="K88" s="224"/>
      <c r="L88" s="224"/>
      <c r="M88" s="224"/>
      <c r="N88" s="224"/>
      <c r="O88" s="118"/>
    </row>
    <row r="89" spans="1:19" s="154" customFormat="1">
      <c r="A89" s="116"/>
      <c r="B89" s="211"/>
      <c r="G89" s="119"/>
      <c r="H89" s="195"/>
      <c r="I89" s="224"/>
      <c r="J89" s="224"/>
      <c r="K89" s="224"/>
      <c r="L89" s="224"/>
      <c r="M89" s="224"/>
      <c r="N89" s="224"/>
      <c r="O89" s="118"/>
    </row>
    <row r="90" spans="1:19" s="154" customFormat="1">
      <c r="A90" s="116"/>
      <c r="B90" s="211"/>
    </row>
    <row r="91" spans="1:19" s="154" customFormat="1">
      <c r="A91" s="116"/>
      <c r="B91" s="211"/>
    </row>
    <row r="92" spans="1:19">
      <c r="A92" s="116"/>
      <c r="B92" s="211"/>
      <c r="C92" s="154"/>
      <c r="D92" s="154"/>
      <c r="E92" s="154"/>
      <c r="F92" s="154"/>
    </row>
    <row r="93" spans="1:19">
      <c r="A93" s="116"/>
      <c r="B93" s="211"/>
      <c r="C93" s="154"/>
      <c r="D93" s="154"/>
      <c r="E93" s="154"/>
      <c r="F93" s="154"/>
      <c r="G93" s="225" t="s">
        <v>260</v>
      </c>
    </row>
    <row r="94" spans="1:19">
      <c r="A94" s="116"/>
      <c r="B94" s="211"/>
      <c r="C94" s="154"/>
      <c r="D94" s="154"/>
      <c r="E94" s="154"/>
      <c r="F94" s="154"/>
      <c r="G94" s="213"/>
      <c r="H94" s="149" t="s">
        <v>261</v>
      </c>
    </row>
    <row r="95" spans="1:19">
      <c r="A95" s="116"/>
      <c r="B95" s="211"/>
      <c r="C95" s="154"/>
      <c r="D95" s="154"/>
      <c r="E95" s="154"/>
      <c r="F95" s="154"/>
      <c r="G95" s="149" t="s">
        <v>259</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c r="A96" s="116"/>
      <c r="B96" s="211"/>
      <c r="C96" s="154"/>
      <c r="D96" s="154"/>
      <c r="E96" s="154"/>
      <c r="F96" s="154"/>
      <c r="G96" s="149" t="s">
        <v>259</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c r="A97" s="116"/>
      <c r="B97" s="211"/>
      <c r="C97" s="154"/>
      <c r="D97" s="154"/>
      <c r="E97" s="154"/>
      <c r="F97" s="154"/>
      <c r="G97" s="81" t="s">
        <v>257</v>
      </c>
      <c r="H97" s="226">
        <f>IF(MIN(H95,H96)&gt;1,0,MIN(H95,H96))</f>
        <v>9.9999998000000053E-5</v>
      </c>
      <c r="I97" s="226">
        <f t="shared" ref="I97:S97" si="13">IF(MIN(I95,I96)&gt;1,0,MIN(I95,I96))</f>
        <v>9.9999998000000053E-5</v>
      </c>
      <c r="J97" s="226">
        <f t="shared" si="13"/>
        <v>1.0000000200000004E-4</v>
      </c>
      <c r="K97" s="226">
        <f t="shared" si="13"/>
        <v>1.0000000200000004E-4</v>
      </c>
      <c r="L97" s="226">
        <f t="shared" si="13"/>
        <v>0</v>
      </c>
      <c r="M97" s="226">
        <f t="shared" si="13"/>
        <v>0</v>
      </c>
      <c r="N97" s="226">
        <f t="shared" si="13"/>
        <v>0</v>
      </c>
      <c r="O97" s="226">
        <f t="shared" si="13"/>
        <v>0</v>
      </c>
      <c r="P97" s="226">
        <f t="shared" si="13"/>
        <v>0</v>
      </c>
      <c r="Q97" s="226">
        <f t="shared" si="13"/>
        <v>0</v>
      </c>
      <c r="R97" s="226">
        <f t="shared" si="13"/>
        <v>0</v>
      </c>
      <c r="S97" s="226">
        <f t="shared" si="13"/>
        <v>0</v>
      </c>
    </row>
    <row r="98" spans="1:19">
      <c r="A98" s="116"/>
      <c r="B98" s="211"/>
      <c r="C98" s="154"/>
      <c r="D98" s="154"/>
      <c r="E98" s="154"/>
      <c r="F98" s="154"/>
      <c r="H98" s="149" t="s">
        <v>262</v>
      </c>
      <c r="I98" s="149"/>
      <c r="J98" s="149"/>
      <c r="K98" s="149"/>
      <c r="L98" s="149"/>
      <c r="M98" s="149"/>
      <c r="N98" s="149"/>
      <c r="O98" s="149"/>
      <c r="P98" s="149"/>
      <c r="Q98" s="149"/>
      <c r="R98" s="149"/>
      <c r="S98" s="149"/>
    </row>
    <row r="99" spans="1:19">
      <c r="A99" s="116"/>
      <c r="B99" s="211"/>
      <c r="C99" s="154"/>
      <c r="D99" s="154"/>
      <c r="E99" s="154"/>
      <c r="F99" s="154"/>
      <c r="G99" s="115" t="s">
        <v>259</v>
      </c>
      <c r="H99" s="154">
        <f t="shared" ref="H99:S99" si="14">H48/ABS(H30+0.000001)</f>
        <v>9.9999998000000053E-5</v>
      </c>
      <c r="I99" s="154">
        <f t="shared" si="14"/>
        <v>1.0000000200000004E-4</v>
      </c>
      <c r="J99" s="154">
        <f t="shared" si="14"/>
        <v>1.0000000200000004E-4</v>
      </c>
      <c r="K99" s="154">
        <f t="shared" si="14"/>
        <v>9.9999998000000053E-5</v>
      </c>
      <c r="L99" s="154">
        <f t="shared" si="14"/>
        <v>0</v>
      </c>
      <c r="M99" s="154">
        <f t="shared" si="14"/>
        <v>0</v>
      </c>
      <c r="N99" s="154">
        <f t="shared" si="14"/>
        <v>0</v>
      </c>
      <c r="O99" s="154">
        <f t="shared" si="14"/>
        <v>0</v>
      </c>
      <c r="P99" s="154">
        <f t="shared" si="14"/>
        <v>0</v>
      </c>
      <c r="Q99" s="154">
        <f t="shared" si="14"/>
        <v>0</v>
      </c>
      <c r="R99" s="154">
        <f t="shared" si="14"/>
        <v>0</v>
      </c>
      <c r="S99" s="154">
        <f t="shared" si="14"/>
        <v>0</v>
      </c>
    </row>
    <row r="100" spans="1:19">
      <c r="A100" s="116"/>
      <c r="B100" s="211"/>
      <c r="C100" s="154"/>
      <c r="D100" s="154"/>
      <c r="E100" s="154"/>
      <c r="F100" s="154"/>
      <c r="G100" s="115" t="s">
        <v>259</v>
      </c>
      <c r="H100" s="227">
        <f t="shared" ref="H100:S100" si="15">H46/ABS(H32+0.000001)</f>
        <v>9.9999998000000053E-5</v>
      </c>
      <c r="I100" s="227">
        <f t="shared" si="15"/>
        <v>9.9999998000000053E-5</v>
      </c>
      <c r="J100" s="227">
        <f t="shared" si="15"/>
        <v>1.0000000200000004E-4</v>
      </c>
      <c r="K100" s="227">
        <f t="shared" si="15"/>
        <v>1.0000000200000004E-4</v>
      </c>
      <c r="L100" s="227">
        <f t="shared" si="15"/>
        <v>0</v>
      </c>
      <c r="M100" s="227">
        <f t="shared" si="15"/>
        <v>0</v>
      </c>
      <c r="N100" s="227">
        <f t="shared" si="15"/>
        <v>0</v>
      </c>
      <c r="O100" s="227">
        <f t="shared" si="15"/>
        <v>0</v>
      </c>
      <c r="P100" s="227">
        <f t="shared" si="15"/>
        <v>0</v>
      </c>
      <c r="Q100" s="227">
        <f t="shared" si="15"/>
        <v>0</v>
      </c>
      <c r="R100" s="227">
        <f t="shared" si="15"/>
        <v>0</v>
      </c>
      <c r="S100" s="227">
        <f t="shared" si="15"/>
        <v>0</v>
      </c>
    </row>
    <row r="101" spans="1:19">
      <c r="A101" s="116"/>
      <c r="B101" s="211"/>
      <c r="C101" s="154"/>
      <c r="D101" s="154"/>
      <c r="E101" s="154"/>
      <c r="F101" s="154"/>
      <c r="G101" s="81" t="s">
        <v>257</v>
      </c>
      <c r="H101" s="226">
        <f>IF(MIN(H99,H100)&gt;1,0,MIN(H99,H100))</f>
        <v>9.9999998000000053E-5</v>
      </c>
      <c r="I101" s="226">
        <f t="shared" ref="I101:S101" si="16">IF(MIN(I99,I100)&gt;1,0,MIN(I99,I100))</f>
        <v>9.9999998000000053E-5</v>
      </c>
      <c r="J101" s="226">
        <f t="shared" si="16"/>
        <v>1.0000000200000004E-4</v>
      </c>
      <c r="K101" s="226">
        <f t="shared" si="16"/>
        <v>9.9999998000000053E-5</v>
      </c>
      <c r="L101" s="226">
        <f t="shared" si="16"/>
        <v>0</v>
      </c>
      <c r="M101" s="226">
        <f t="shared" si="16"/>
        <v>0</v>
      </c>
      <c r="N101" s="226">
        <f t="shared" si="16"/>
        <v>0</v>
      </c>
      <c r="O101" s="226">
        <f t="shared" si="16"/>
        <v>0</v>
      </c>
      <c r="P101" s="226">
        <f t="shared" si="16"/>
        <v>0</v>
      </c>
      <c r="Q101" s="226">
        <f t="shared" si="16"/>
        <v>0</v>
      </c>
      <c r="R101" s="226">
        <f t="shared" si="16"/>
        <v>0</v>
      </c>
      <c r="S101" s="226">
        <f t="shared" si="16"/>
        <v>0</v>
      </c>
    </row>
    <row r="102" spans="1:19">
      <c r="A102" s="116"/>
      <c r="B102" s="211"/>
      <c r="C102" s="154"/>
      <c r="D102" s="154"/>
      <c r="E102" s="154"/>
      <c r="F102" s="154"/>
      <c r="H102" s="81" t="s">
        <v>263</v>
      </c>
    </row>
    <row r="103" spans="1:19">
      <c r="A103" s="116"/>
      <c r="B103" s="211"/>
      <c r="C103" s="154"/>
      <c r="D103" s="154"/>
      <c r="E103" s="154"/>
      <c r="F103" s="154"/>
      <c r="G103" s="149" t="s">
        <v>259</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c r="A104" s="116"/>
      <c r="B104" s="211"/>
      <c r="C104" s="154"/>
      <c r="D104" s="154"/>
      <c r="E104" s="154"/>
      <c r="F104" s="154"/>
      <c r="G104" s="149" t="s">
        <v>259</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c r="A105" s="116"/>
      <c r="B105" s="211"/>
      <c r="C105" s="154"/>
      <c r="D105" s="154"/>
      <c r="E105" s="154"/>
      <c r="F105" s="154"/>
      <c r="G105" s="81" t="s">
        <v>257</v>
      </c>
      <c r="H105" s="226">
        <f>IF(MIN(H103,H104)&gt;1,0,MIN(H103,H104))</f>
        <v>9.9999998000000053E-5</v>
      </c>
      <c r="I105" s="226">
        <f t="shared" ref="I105:S105" si="19">IF(MIN(I103,I104)&gt;1,0,MIN(I103,I104))</f>
        <v>1.0000000200000004E-4</v>
      </c>
      <c r="J105" s="226">
        <f t="shared" si="19"/>
        <v>1.0000000200000004E-4</v>
      </c>
      <c r="K105" s="226">
        <f t="shared" si="19"/>
        <v>9.9999998000000053E-5</v>
      </c>
      <c r="L105" s="226">
        <f t="shared" si="19"/>
        <v>0</v>
      </c>
      <c r="M105" s="226">
        <f t="shared" si="19"/>
        <v>0</v>
      </c>
      <c r="N105" s="226">
        <f t="shared" si="19"/>
        <v>0</v>
      </c>
      <c r="O105" s="226">
        <f t="shared" si="19"/>
        <v>0</v>
      </c>
      <c r="P105" s="226">
        <f t="shared" si="19"/>
        <v>0</v>
      </c>
      <c r="Q105" s="226">
        <f t="shared" si="19"/>
        <v>0</v>
      </c>
      <c r="R105" s="226">
        <f t="shared" si="19"/>
        <v>0</v>
      </c>
      <c r="S105" s="226">
        <f t="shared" si="19"/>
        <v>0</v>
      </c>
    </row>
    <row r="106" spans="1:19">
      <c r="A106" s="116"/>
      <c r="B106" s="211"/>
      <c r="C106" s="154"/>
      <c r="D106" s="154"/>
      <c r="E106" s="154"/>
      <c r="F106" s="154"/>
    </row>
    <row r="107" spans="1:19">
      <c r="G107" s="225" t="s">
        <v>308</v>
      </c>
      <c r="H107" s="225"/>
      <c r="I107" s="225"/>
      <c r="J107" s="225"/>
      <c r="K107" s="225"/>
      <c r="L107" s="225"/>
      <c r="M107" s="225"/>
      <c r="N107" s="225"/>
      <c r="O107" s="225"/>
      <c r="P107" s="225"/>
    </row>
    <row r="108" spans="1:19">
      <c r="H108" s="102" t="s">
        <v>254</v>
      </c>
      <c r="I108" s="102"/>
      <c r="J108" s="102"/>
      <c r="K108" s="102"/>
      <c r="L108" s="102"/>
      <c r="M108" s="102"/>
      <c r="N108" s="102"/>
      <c r="O108" s="102"/>
      <c r="P108" s="102"/>
      <c r="Q108" s="102"/>
      <c r="R108" s="102"/>
      <c r="S108" s="102"/>
    </row>
    <row r="109" spans="1:19">
      <c r="G109" s="149" t="s">
        <v>259</v>
      </c>
      <c r="H109" s="226">
        <f t="shared" ref="H109:S109" si="20">H55/(H32+0.000001)</f>
        <v>0</v>
      </c>
      <c r="I109" s="226">
        <f t="shared" si="20"/>
        <v>0</v>
      </c>
      <c r="J109" s="226">
        <f t="shared" si="20"/>
        <v>0</v>
      </c>
      <c r="K109" s="226">
        <f t="shared" si="20"/>
        <v>0</v>
      </c>
      <c r="L109" s="226">
        <f t="shared" si="20"/>
        <v>0</v>
      </c>
      <c r="M109" s="226">
        <f t="shared" si="20"/>
        <v>0</v>
      </c>
      <c r="N109" s="226">
        <f t="shared" si="20"/>
        <v>0</v>
      </c>
      <c r="O109" s="226">
        <f t="shared" si="20"/>
        <v>0</v>
      </c>
      <c r="P109" s="226">
        <f t="shared" si="20"/>
        <v>0</v>
      </c>
      <c r="Q109" s="226">
        <f t="shared" si="20"/>
        <v>0</v>
      </c>
      <c r="R109" s="226">
        <f t="shared" si="20"/>
        <v>0</v>
      </c>
      <c r="S109" s="226">
        <f t="shared" si="20"/>
        <v>0</v>
      </c>
    </row>
    <row r="110" spans="1:19">
      <c r="G110" s="149" t="s">
        <v>259</v>
      </c>
      <c r="H110" s="228">
        <f t="shared" ref="H110:S110" si="21">H56/(H31+0.000001)</f>
        <v>0</v>
      </c>
      <c r="I110" s="228">
        <f t="shared" si="21"/>
        <v>0</v>
      </c>
      <c r="J110" s="228">
        <f t="shared" si="21"/>
        <v>0</v>
      </c>
      <c r="K110" s="228">
        <f t="shared" si="21"/>
        <v>0</v>
      </c>
      <c r="L110" s="228">
        <f t="shared" si="21"/>
        <v>0</v>
      </c>
      <c r="M110" s="228">
        <f t="shared" si="21"/>
        <v>0</v>
      </c>
      <c r="N110" s="228">
        <f t="shared" si="21"/>
        <v>0</v>
      </c>
      <c r="O110" s="228">
        <f t="shared" si="21"/>
        <v>0</v>
      </c>
      <c r="P110" s="228">
        <f t="shared" si="21"/>
        <v>0</v>
      </c>
      <c r="Q110" s="228">
        <f t="shared" si="21"/>
        <v>0</v>
      </c>
      <c r="R110" s="228">
        <f t="shared" si="21"/>
        <v>0</v>
      </c>
      <c r="S110" s="228">
        <f t="shared" si="21"/>
        <v>0</v>
      </c>
    </row>
    <row r="111" spans="1:19">
      <c r="G111" s="81" t="s">
        <v>258</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c r="G112" s="81" t="s">
        <v>257</v>
      </c>
      <c r="H112" s="226">
        <f>IF(H111*MIN(ABS(H109),ABS(H110))&gt;1,0,H111*MIN(ABS(H109),ABS(H110)))</f>
        <v>0</v>
      </c>
      <c r="I112" s="226">
        <f t="shared" ref="I112:S112" si="23">IF(I111*MIN(ABS(I109),ABS(I110))&gt;1,0,I111*MIN(ABS(I109),ABS(I110)))</f>
        <v>0</v>
      </c>
      <c r="J112" s="226">
        <f t="shared" si="23"/>
        <v>0</v>
      </c>
      <c r="K112" s="226">
        <f t="shared" si="23"/>
        <v>0</v>
      </c>
      <c r="L112" s="226">
        <f t="shared" si="23"/>
        <v>0</v>
      </c>
      <c r="M112" s="226">
        <f t="shared" si="23"/>
        <v>0</v>
      </c>
      <c r="N112" s="226">
        <f t="shared" si="23"/>
        <v>0</v>
      </c>
      <c r="O112" s="226">
        <f t="shared" si="23"/>
        <v>0</v>
      </c>
      <c r="P112" s="226">
        <f t="shared" si="23"/>
        <v>0</v>
      </c>
      <c r="Q112" s="226">
        <f t="shared" si="23"/>
        <v>0</v>
      </c>
      <c r="R112" s="226">
        <f t="shared" si="23"/>
        <v>0</v>
      </c>
      <c r="S112" s="226">
        <f t="shared" si="23"/>
        <v>0</v>
      </c>
    </row>
    <row r="113" spans="7:19">
      <c r="H113" s="102" t="s">
        <v>255</v>
      </c>
      <c r="I113" s="102"/>
      <c r="J113" s="102"/>
      <c r="K113" s="102"/>
      <c r="L113" s="102"/>
      <c r="M113" s="102"/>
      <c r="N113" s="102"/>
      <c r="O113" s="102"/>
      <c r="P113" s="102"/>
      <c r="Q113" s="102"/>
      <c r="R113" s="102"/>
      <c r="S113" s="102"/>
    </row>
    <row r="114" spans="7:19">
      <c r="G114" s="115" t="s">
        <v>259</v>
      </c>
      <c r="H114" s="154">
        <f t="shared" ref="H114:S114" si="24">-H56/(H30+0.000001)</f>
        <v>0</v>
      </c>
      <c r="I114" s="154">
        <f t="shared" si="24"/>
        <v>0</v>
      </c>
      <c r="J114" s="154">
        <f t="shared" si="24"/>
        <v>0</v>
      </c>
      <c r="K114" s="154">
        <f t="shared" si="24"/>
        <v>0</v>
      </c>
      <c r="L114" s="154">
        <f t="shared" si="24"/>
        <v>0</v>
      </c>
      <c r="M114" s="154">
        <f t="shared" si="24"/>
        <v>0</v>
      </c>
      <c r="N114" s="154">
        <f t="shared" si="24"/>
        <v>0</v>
      </c>
      <c r="O114" s="154">
        <f t="shared" si="24"/>
        <v>0</v>
      </c>
      <c r="P114" s="154">
        <f t="shared" si="24"/>
        <v>0</v>
      </c>
      <c r="Q114" s="154">
        <f t="shared" si="24"/>
        <v>0</v>
      </c>
      <c r="R114" s="154">
        <f t="shared" si="24"/>
        <v>0</v>
      </c>
      <c r="S114" s="154">
        <f t="shared" si="24"/>
        <v>0</v>
      </c>
    </row>
    <row r="115" spans="7:19">
      <c r="G115" s="115" t="s">
        <v>259</v>
      </c>
      <c r="H115" s="154">
        <f t="shared" ref="H115:S115" si="25">H54/(H32+0.000001)</f>
        <v>0</v>
      </c>
      <c r="I115" s="154">
        <f t="shared" si="25"/>
        <v>0</v>
      </c>
      <c r="J115" s="154">
        <f t="shared" si="25"/>
        <v>0</v>
      </c>
      <c r="K115" s="154">
        <f t="shared" si="25"/>
        <v>0</v>
      </c>
      <c r="L115" s="154">
        <f t="shared" si="25"/>
        <v>0</v>
      </c>
      <c r="M115" s="154">
        <f t="shared" si="25"/>
        <v>0</v>
      </c>
      <c r="N115" s="154">
        <f t="shared" si="25"/>
        <v>0</v>
      </c>
      <c r="O115" s="154">
        <f t="shared" si="25"/>
        <v>0</v>
      </c>
      <c r="P115" s="154">
        <f t="shared" si="25"/>
        <v>0</v>
      </c>
      <c r="Q115" s="154">
        <f t="shared" si="25"/>
        <v>0</v>
      </c>
      <c r="R115" s="154">
        <f t="shared" si="25"/>
        <v>0</v>
      </c>
      <c r="S115" s="154">
        <f t="shared" si="25"/>
        <v>0</v>
      </c>
    </row>
    <row r="116" spans="7:19">
      <c r="G116" s="154" t="s">
        <v>258</v>
      </c>
      <c r="H116" s="229">
        <f>SIGN(H114+0.000000000001)*SIGN(H115+0.000000000001)</f>
        <v>1</v>
      </c>
      <c r="I116" s="229">
        <f t="shared" ref="I116:S116" si="26">SIGN(I114+0.000000000001)*SIGN(I115+0.000000000001)</f>
        <v>1</v>
      </c>
      <c r="J116" s="229">
        <f t="shared" si="26"/>
        <v>1</v>
      </c>
      <c r="K116" s="229">
        <f t="shared" si="26"/>
        <v>1</v>
      </c>
      <c r="L116" s="229">
        <f t="shared" si="26"/>
        <v>1</v>
      </c>
      <c r="M116" s="229">
        <f t="shared" si="26"/>
        <v>1</v>
      </c>
      <c r="N116" s="229">
        <f t="shared" si="26"/>
        <v>1</v>
      </c>
      <c r="O116" s="229">
        <f t="shared" si="26"/>
        <v>1</v>
      </c>
      <c r="P116" s="229">
        <f t="shared" si="26"/>
        <v>1</v>
      </c>
      <c r="Q116" s="229">
        <f t="shared" si="26"/>
        <v>1</v>
      </c>
      <c r="R116" s="229">
        <f t="shared" si="26"/>
        <v>1</v>
      </c>
      <c r="S116" s="229">
        <f t="shared" si="26"/>
        <v>1</v>
      </c>
    </row>
    <row r="117" spans="7:19">
      <c r="G117" s="154" t="s">
        <v>257</v>
      </c>
      <c r="H117" s="230">
        <f>IF(H116*MIN(ABS(H114),ABS(H115))&gt;1,0,H116*MIN(ABS(H114),ABS(H115)))</f>
        <v>0</v>
      </c>
      <c r="I117" s="230">
        <f t="shared" ref="I117:S117" si="27">IF(I116*MIN(ABS(I114),ABS(I115))&gt;1,0,I116*MIN(ABS(I114),ABS(I115)))</f>
        <v>0</v>
      </c>
      <c r="J117" s="230">
        <f t="shared" si="27"/>
        <v>0</v>
      </c>
      <c r="K117" s="230">
        <f t="shared" si="27"/>
        <v>0</v>
      </c>
      <c r="L117" s="230">
        <f t="shared" si="27"/>
        <v>0</v>
      </c>
      <c r="M117" s="230">
        <f t="shared" si="27"/>
        <v>0</v>
      </c>
      <c r="N117" s="230">
        <f t="shared" si="27"/>
        <v>0</v>
      </c>
      <c r="O117" s="230">
        <f t="shared" si="27"/>
        <v>0</v>
      </c>
      <c r="P117" s="230">
        <f t="shared" si="27"/>
        <v>0</v>
      </c>
      <c r="Q117" s="230">
        <f t="shared" si="27"/>
        <v>0</v>
      </c>
      <c r="R117" s="230">
        <f t="shared" si="27"/>
        <v>0</v>
      </c>
      <c r="S117" s="230">
        <f t="shared" si="27"/>
        <v>0</v>
      </c>
    </row>
    <row r="118" spans="7:19">
      <c r="H118" s="102" t="s">
        <v>256</v>
      </c>
      <c r="I118" s="102"/>
      <c r="J118" s="102"/>
      <c r="K118" s="102"/>
      <c r="L118" s="102"/>
      <c r="M118" s="102"/>
      <c r="N118" s="102"/>
      <c r="O118" s="102"/>
      <c r="P118" s="102"/>
      <c r="Q118" s="102"/>
      <c r="R118" s="102"/>
      <c r="S118" s="102"/>
    </row>
    <row r="119" spans="7:19">
      <c r="G119" s="149" t="s">
        <v>259</v>
      </c>
      <c r="H119" s="226">
        <f t="shared" ref="H119:S119" si="28">H55/(H30+0.000001)</f>
        <v>0</v>
      </c>
      <c r="I119" s="226">
        <f t="shared" si="28"/>
        <v>0</v>
      </c>
      <c r="J119" s="226">
        <f t="shared" si="28"/>
        <v>0</v>
      </c>
      <c r="K119" s="226">
        <f t="shared" si="28"/>
        <v>0</v>
      </c>
      <c r="L119" s="226">
        <f t="shared" si="28"/>
        <v>0</v>
      </c>
      <c r="M119" s="226">
        <f t="shared" si="28"/>
        <v>0</v>
      </c>
      <c r="N119" s="226">
        <f t="shared" si="28"/>
        <v>0</v>
      </c>
      <c r="O119" s="226">
        <f t="shared" si="28"/>
        <v>0</v>
      </c>
      <c r="P119" s="226">
        <f t="shared" si="28"/>
        <v>0</v>
      </c>
      <c r="Q119" s="226">
        <f t="shared" si="28"/>
        <v>0</v>
      </c>
      <c r="R119" s="226">
        <f t="shared" si="28"/>
        <v>0</v>
      </c>
      <c r="S119" s="226">
        <f t="shared" si="28"/>
        <v>0</v>
      </c>
    </row>
    <row r="120" spans="7:19">
      <c r="G120" s="149" t="s">
        <v>259</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c r="G121" s="81" t="s">
        <v>258</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c r="G122" s="81" t="s">
        <v>257</v>
      </c>
      <c r="H122" s="226">
        <f>IF(H121*MIN(ABS(H119),ABS(H120))&gt;1,0,H121*MIN(ABS(H119),ABS(H120)))</f>
        <v>0</v>
      </c>
      <c r="I122" s="226">
        <f t="shared" ref="I122:S122" si="31">IF(I121*MIN(ABS(I119),ABS(I120))&gt;1,0,I121*MIN(ABS(I119),ABS(I120)))</f>
        <v>0</v>
      </c>
      <c r="J122" s="226">
        <f t="shared" si="31"/>
        <v>0</v>
      </c>
      <c r="K122" s="226">
        <f t="shared" si="31"/>
        <v>0</v>
      </c>
      <c r="L122" s="226">
        <f t="shared" si="31"/>
        <v>0</v>
      </c>
      <c r="M122" s="226">
        <f t="shared" si="31"/>
        <v>0</v>
      </c>
      <c r="N122" s="226">
        <f t="shared" si="31"/>
        <v>0</v>
      </c>
      <c r="O122" s="226">
        <f t="shared" si="31"/>
        <v>0</v>
      </c>
      <c r="P122" s="226">
        <f t="shared" si="31"/>
        <v>0</v>
      </c>
      <c r="Q122" s="226">
        <f t="shared" si="31"/>
        <v>0</v>
      </c>
      <c r="R122" s="226">
        <f t="shared" si="31"/>
        <v>0</v>
      </c>
      <c r="S122" s="226">
        <f t="shared" si="31"/>
        <v>0</v>
      </c>
    </row>
    <row r="123" spans="7:19">
      <c r="G123" s="149"/>
    </row>
    <row r="124" spans="7:19">
      <c r="H124" s="144"/>
      <c r="I124" s="144"/>
      <c r="J124" s="144"/>
      <c r="K124" s="144"/>
      <c r="L124" s="144"/>
      <c r="M124" s="144"/>
      <c r="N124" s="144"/>
      <c r="O124" s="144"/>
      <c r="P124" s="144"/>
      <c r="Q124" s="144"/>
      <c r="R124" s="144"/>
      <c r="S124" s="144"/>
    </row>
    <row r="125" spans="7:19">
      <c r="H125" s="226"/>
      <c r="I125" s="226"/>
      <c r="J125" s="226"/>
      <c r="K125" s="226"/>
      <c r="L125" s="226"/>
      <c r="M125" s="226"/>
      <c r="N125" s="226"/>
      <c r="O125" s="226"/>
      <c r="P125" s="226"/>
      <c r="Q125" s="226"/>
      <c r="R125" s="226"/>
      <c r="S125" s="226"/>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19.6640625" style="81" customWidth="1"/>
    <col min="3" max="3" width="39.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07" t="str">
        <f>'CSs and Loads'!A177</f>
        <v>CS 6</v>
      </c>
      <c r="B1" s="207" t="str">
        <f>'CSs and Loads'!A187</f>
        <v>X-axis</v>
      </c>
    </row>
    <row r="2" spans="1:18" ht="16" thickBot="1">
      <c r="A2" s="82" t="s">
        <v>132</v>
      </c>
      <c r="E2" s="176"/>
      <c r="F2" s="176"/>
      <c r="G2" s="176"/>
      <c r="H2" s="176"/>
      <c r="I2" s="244"/>
      <c r="J2" s="176"/>
      <c r="K2" s="176"/>
      <c r="L2" s="245"/>
      <c r="M2" s="245"/>
      <c r="N2" s="209"/>
    </row>
    <row r="3" spans="1:18">
      <c r="A3" s="210" t="s">
        <v>111</v>
      </c>
      <c r="D3" s="243"/>
      <c r="E3" s="327" t="s">
        <v>379</v>
      </c>
      <c r="F3" s="328"/>
      <c r="G3" s="328"/>
      <c r="H3" s="328"/>
      <c r="I3" s="328"/>
      <c r="J3" s="328"/>
      <c r="K3" s="328"/>
      <c r="L3" s="328"/>
      <c r="M3" s="329"/>
      <c r="N3" s="181"/>
      <c r="O3" s="211"/>
      <c r="P3" s="211"/>
      <c r="Q3" s="211"/>
      <c r="R3" s="211"/>
    </row>
    <row r="4" spans="1:18">
      <c r="A4" s="82" t="s">
        <v>321</v>
      </c>
      <c r="B4" s="177" t="s">
        <v>353</v>
      </c>
      <c r="C4" s="82" t="s">
        <v>376</v>
      </c>
      <c r="D4" s="169"/>
      <c r="E4" s="335" t="s">
        <v>356</v>
      </c>
      <c r="F4" s="336"/>
      <c r="G4" s="336"/>
      <c r="H4" s="336"/>
      <c r="I4" s="336"/>
      <c r="J4" s="336"/>
      <c r="K4" s="336"/>
      <c r="L4" s="336"/>
      <c r="M4" s="337"/>
      <c r="N4" s="181"/>
      <c r="O4" s="149"/>
      <c r="R4" s="211"/>
    </row>
    <row r="5" spans="1:18">
      <c r="A5" s="114" t="s">
        <v>341</v>
      </c>
      <c r="B5" s="118" t="s">
        <v>310</v>
      </c>
      <c r="C5" s="102" t="s">
        <v>374</v>
      </c>
      <c r="D5" s="169">
        <v>25</v>
      </c>
      <c r="E5" s="182" t="s">
        <v>282</v>
      </c>
      <c r="F5" s="326" t="s">
        <v>285</v>
      </c>
      <c r="G5" s="156">
        <f>(1/2)*B11^3/(3*B7*B18)</f>
        <v>7.0459646551228115E-6</v>
      </c>
      <c r="H5" s="154">
        <v>0</v>
      </c>
      <c r="I5" s="154">
        <v>0</v>
      </c>
      <c r="J5" s="154">
        <v>0</v>
      </c>
      <c r="K5" s="155">
        <f>G9</f>
        <v>-1.5098495689548882E-8</v>
      </c>
      <c r="L5" s="154">
        <v>0</v>
      </c>
      <c r="M5" s="183" t="s">
        <v>276</v>
      </c>
      <c r="N5" s="206"/>
      <c r="O5" s="212"/>
      <c r="P5" s="212"/>
      <c r="Q5" s="212"/>
      <c r="R5" s="211"/>
    </row>
    <row r="6" spans="1:18">
      <c r="A6" s="114" t="s">
        <v>344</v>
      </c>
      <c r="B6" s="118" t="s">
        <v>286</v>
      </c>
      <c r="C6" s="102" t="s">
        <v>32</v>
      </c>
      <c r="D6" s="169">
        <f>1770*9.8</f>
        <v>17346</v>
      </c>
      <c r="E6" s="182" t="s">
        <v>283</v>
      </c>
      <c r="F6" s="326"/>
      <c r="G6" s="154">
        <v>0</v>
      </c>
      <c r="H6" s="155">
        <f>(1/2)*B11^3/(3*B7*B17)</f>
        <v>7.0459646551228115E-6</v>
      </c>
      <c r="I6" s="154">
        <v>0</v>
      </c>
      <c r="J6" s="155">
        <f>-(1/2)*B11^2/(2*B7*B17)</f>
        <v>-1.5098495689548882E-8</v>
      </c>
      <c r="K6" s="154">
        <v>0</v>
      </c>
      <c r="L6" s="154">
        <v>0</v>
      </c>
      <c r="M6" s="183" t="s">
        <v>277</v>
      </c>
      <c r="N6" s="181"/>
      <c r="R6" s="211"/>
    </row>
    <row r="7" spans="1:18">
      <c r="A7" s="102" t="s">
        <v>291</v>
      </c>
      <c r="B7" s="82">
        <f>69000</f>
        <v>69000</v>
      </c>
      <c r="C7" s="102" t="s">
        <v>243</v>
      </c>
      <c r="D7" s="169">
        <f>647*1000</f>
        <v>647000</v>
      </c>
      <c r="E7" s="182" t="s">
        <v>284</v>
      </c>
      <c r="F7" s="326"/>
      <c r="G7" s="154">
        <v>0</v>
      </c>
      <c r="H7" s="154">
        <v>0</v>
      </c>
      <c r="I7" s="155">
        <f>(1/2)*B12/(B16*B7)</f>
        <v>2.6207781884162787E-7</v>
      </c>
      <c r="J7" s="154">
        <v>0</v>
      </c>
      <c r="K7" s="154">
        <v>0</v>
      </c>
      <c r="L7" s="154">
        <v>0</v>
      </c>
      <c r="M7" s="183" t="s">
        <v>278</v>
      </c>
      <c r="N7" s="181"/>
      <c r="R7" s="211"/>
    </row>
    <row r="8" spans="1:18">
      <c r="A8" s="102" t="s">
        <v>287</v>
      </c>
      <c r="B8" s="82">
        <v>0.33400000000000002</v>
      </c>
      <c r="C8" s="102" t="s">
        <v>33</v>
      </c>
      <c r="D8" s="169">
        <v>3</v>
      </c>
      <c r="E8" s="182" t="s">
        <v>273</v>
      </c>
      <c r="F8" s="326"/>
      <c r="G8" s="148"/>
      <c r="H8" s="155">
        <f>J6</f>
        <v>-1.5098495689548882E-8</v>
      </c>
      <c r="I8" s="154">
        <v>0</v>
      </c>
      <c r="J8" s="155">
        <f>2*I7/'CS_5 Bridge'!B12^2</f>
        <v>2.6742634575676315E-13</v>
      </c>
      <c r="K8" s="154">
        <v>0</v>
      </c>
      <c r="L8" s="154">
        <v>0</v>
      </c>
      <c r="M8" s="183" t="s">
        <v>279</v>
      </c>
      <c r="N8" s="181"/>
      <c r="R8" s="211"/>
    </row>
    <row r="9" spans="1:18">
      <c r="A9" s="102" t="s">
        <v>292</v>
      </c>
      <c r="B9" s="97">
        <f>B7/(2*(1+B8))</f>
        <v>25862.068965517239</v>
      </c>
      <c r="C9" s="102" t="s">
        <v>34</v>
      </c>
      <c r="D9" s="169">
        <v>0.01</v>
      </c>
      <c r="E9" s="182" t="s">
        <v>275</v>
      </c>
      <c r="F9" s="326"/>
      <c r="G9" s="155">
        <f>-(1/2)*B11^2/(2*B7*B18)</f>
        <v>-1.5098495689548882E-8</v>
      </c>
      <c r="H9" s="154">
        <v>0</v>
      </c>
      <c r="I9" s="154">
        <v>0</v>
      </c>
      <c r="J9" s="154">
        <v>0</v>
      </c>
      <c r="K9" s="155">
        <f>(1/2)*B11/(B7*B18)</f>
        <v>4.3138559112996808E-11</v>
      </c>
      <c r="L9" s="154">
        <v>0</v>
      </c>
      <c r="M9" s="183" t="s">
        <v>280</v>
      </c>
      <c r="N9" s="181"/>
      <c r="R9" s="211"/>
    </row>
    <row r="10" spans="1:18" ht="16" thickBot="1">
      <c r="A10" s="81" t="s">
        <v>346</v>
      </c>
      <c r="B10" s="82"/>
      <c r="C10" s="102" t="s">
        <v>288</v>
      </c>
      <c r="D10" s="239">
        <f>D6/(D8*D9)</f>
        <v>578200</v>
      </c>
      <c r="E10" s="184" t="s">
        <v>274</v>
      </c>
      <c r="F10" s="359"/>
      <c r="G10" s="193">
        <v>0</v>
      </c>
      <c r="H10" s="193">
        <v>0</v>
      </c>
      <c r="I10" s="193">
        <v>0</v>
      </c>
      <c r="J10" s="193">
        <v>0</v>
      </c>
      <c r="K10" s="193">
        <v>0</v>
      </c>
      <c r="L10" s="194">
        <f>1/(1/(2*G5/'CS_5 Bridge'!B12^2)+1/(B11/(B19*B9)))</f>
        <v>6.8693443257030413E-12</v>
      </c>
      <c r="M10" s="187" t="s">
        <v>281</v>
      </c>
      <c r="N10" s="181"/>
      <c r="R10" s="211"/>
    </row>
    <row r="11" spans="1:18">
      <c r="A11" s="149" t="s">
        <v>351</v>
      </c>
      <c r="B11" s="141">
        <f>B12</f>
        <v>700</v>
      </c>
      <c r="C11" s="102" t="s">
        <v>35</v>
      </c>
      <c r="D11" s="82">
        <v>25</v>
      </c>
      <c r="E11" s="163"/>
      <c r="F11" s="246"/>
      <c r="G11" s="163"/>
      <c r="H11" s="163"/>
      <c r="I11" s="163"/>
      <c r="J11" s="163"/>
      <c r="K11" s="163"/>
      <c r="L11" s="163"/>
      <c r="M11" s="163"/>
      <c r="R11" s="211"/>
    </row>
    <row r="12" spans="1:18">
      <c r="A12" s="102" t="s">
        <v>234</v>
      </c>
      <c r="B12" s="82">
        <v>700</v>
      </c>
      <c r="C12" s="102" t="s">
        <v>386</v>
      </c>
      <c r="D12" s="101">
        <f>D7*D11^2/4</f>
        <v>101093750</v>
      </c>
      <c r="I12" s="82"/>
      <c r="O12" s="149"/>
      <c r="R12" s="211"/>
    </row>
    <row r="13" spans="1:18">
      <c r="A13" s="102" t="s">
        <v>362</v>
      </c>
      <c r="B13" s="82">
        <f>8*25.4</f>
        <v>203.2</v>
      </c>
      <c r="C13" s="102" t="s">
        <v>289</v>
      </c>
      <c r="D13" s="101">
        <f>D7*D11^2/12</f>
        <v>33697916.666666664</v>
      </c>
      <c r="I13" s="82"/>
      <c r="O13" s="149"/>
      <c r="R13" s="211"/>
    </row>
    <row r="14" spans="1:18">
      <c r="A14" s="102" t="s">
        <v>363</v>
      </c>
      <c r="B14" s="82">
        <f>8*25.4</f>
        <v>203.2</v>
      </c>
      <c r="C14" s="102" t="s">
        <v>290</v>
      </c>
      <c r="D14" s="97">
        <f>D13</f>
        <v>33697916.666666664</v>
      </c>
      <c r="I14" s="82"/>
      <c r="O14" s="149"/>
      <c r="R14" s="211"/>
    </row>
    <row r="15" spans="1:18">
      <c r="A15" s="102" t="s">
        <v>271</v>
      </c>
      <c r="B15" s="82">
        <f>0.5*25.4</f>
        <v>12.7</v>
      </c>
      <c r="C15" s="114" t="s">
        <v>375</v>
      </c>
      <c r="I15" s="82"/>
      <c r="O15" s="149"/>
      <c r="R15" s="211"/>
    </row>
    <row r="16" spans="1:18">
      <c r="A16" s="102" t="s">
        <v>272</v>
      </c>
      <c r="B16" s="97">
        <f>2*(B13*B14-(B13-2*B15)*(B14-2*B15))</f>
        <v>19354.80000000001</v>
      </c>
      <c r="C16" s="115" t="s">
        <v>267</v>
      </c>
      <c r="D16" s="118" t="s">
        <v>317</v>
      </c>
      <c r="I16" s="82"/>
      <c r="O16" s="149"/>
      <c r="R16" s="211"/>
    </row>
    <row r="17" spans="1:19">
      <c r="A17" s="260" t="s">
        <v>400</v>
      </c>
      <c r="B17" s="98">
        <f>2*(B14^3*B13-(B13-2*B15)*(B14-2*B15)^3)/12</f>
        <v>117585377.73200004</v>
      </c>
      <c r="C17" s="116" t="s">
        <v>269</v>
      </c>
      <c r="D17" s="82">
        <v>25</v>
      </c>
      <c r="I17" s="82"/>
      <c r="O17" s="149"/>
      <c r="R17" s="211"/>
    </row>
    <row r="18" spans="1:19">
      <c r="A18" s="260" t="s">
        <v>401</v>
      </c>
      <c r="B18" s="98">
        <f>2*(B14*B13^3-(B13-2*B15)^3*(B14-2*B15))/12</f>
        <v>117585377.73200004</v>
      </c>
      <c r="C18" s="116" t="s">
        <v>234</v>
      </c>
      <c r="D18" s="97">
        <f>Summary!K9+Summary!M9</f>
        <v>450</v>
      </c>
      <c r="I18" s="82"/>
      <c r="O18" s="149"/>
      <c r="R18" s="211"/>
    </row>
    <row r="19" spans="1:19">
      <c r="A19" s="102" t="s">
        <v>236</v>
      </c>
      <c r="B19" s="98">
        <f>2*(2*B15*B15*(B13-B15)^2*(B14-B15)^2/(B13*B15+B14*B15-2*B15^2))</f>
        <v>175597632.67500001</v>
      </c>
      <c r="C19" s="102" t="s">
        <v>54</v>
      </c>
      <c r="D19" s="117">
        <v>200000</v>
      </c>
      <c r="I19" s="82"/>
      <c r="O19" s="149"/>
      <c r="R19" s="211"/>
    </row>
    <row r="20" spans="1:19">
      <c r="A20" s="102" t="s">
        <v>339</v>
      </c>
      <c r="B20" s="97">
        <f>B18/B16</f>
        <v>6075.2566666666653</v>
      </c>
      <c r="C20" s="116" t="s">
        <v>268</v>
      </c>
      <c r="D20" s="98">
        <f>PI()*D17^2/4*D19/D18</f>
        <v>218166.15649929119</v>
      </c>
      <c r="I20" s="82"/>
      <c r="O20" s="149"/>
      <c r="R20" s="211"/>
    </row>
    <row r="21" spans="1:19" ht="16" thickBot="1">
      <c r="A21" s="241" t="s">
        <v>314</v>
      </c>
      <c r="B21" s="247">
        <f>3*B7*B18/B12^3</f>
        <v>70962.60405400586</v>
      </c>
      <c r="C21" s="241" t="s">
        <v>320</v>
      </c>
      <c r="D21" s="231">
        <v>3</v>
      </c>
      <c r="E21" s="176"/>
      <c r="F21" s="176"/>
      <c r="G21" s="176"/>
      <c r="H21" s="176"/>
      <c r="I21" s="231"/>
      <c r="J21" s="176"/>
      <c r="K21" s="176"/>
      <c r="L21" s="176"/>
      <c r="M21" s="176"/>
      <c r="O21" s="149"/>
      <c r="R21" s="211"/>
    </row>
    <row r="22" spans="1:19" ht="16" thickBot="1">
      <c r="A22" s="363" t="s">
        <v>380</v>
      </c>
      <c r="B22" s="364"/>
      <c r="C22" s="364"/>
      <c r="D22" s="364"/>
      <c r="E22" s="364"/>
      <c r="F22" s="364"/>
      <c r="G22" s="364"/>
      <c r="H22" s="364"/>
      <c r="I22" s="364"/>
      <c r="J22" s="364"/>
      <c r="K22" s="364"/>
      <c r="L22" s="364"/>
      <c r="M22" s="365"/>
      <c r="N22" s="181"/>
      <c r="O22" s="149"/>
      <c r="R22" s="211"/>
    </row>
    <row r="23" spans="1:19" ht="30">
      <c r="A23" s="274" t="s">
        <v>381</v>
      </c>
      <c r="B23" s="234"/>
      <c r="C23" s="242" t="s">
        <v>265</v>
      </c>
      <c r="D23" s="163"/>
      <c r="E23" s="163"/>
      <c r="F23" s="163"/>
      <c r="G23" s="163"/>
      <c r="H23" s="163"/>
      <c r="I23" s="162"/>
      <c r="J23" s="163"/>
      <c r="K23" s="163"/>
      <c r="L23" s="163"/>
      <c r="M23" s="163"/>
      <c r="O23" s="149"/>
      <c r="R23" s="211"/>
    </row>
    <row r="24" spans="1:19">
      <c r="A24" s="102" t="s">
        <v>3</v>
      </c>
      <c r="B24" s="107"/>
      <c r="C24" s="154"/>
      <c r="O24" s="211"/>
      <c r="P24" s="211"/>
      <c r="Q24" s="211"/>
      <c r="R24" s="211"/>
    </row>
    <row r="25" spans="1:19">
      <c r="A25" s="219" t="s">
        <v>117</v>
      </c>
      <c r="B25" s="152">
        <f>SUM(H35:S35)+C25</f>
        <v>72722.052166430396</v>
      </c>
      <c r="C25" s="238">
        <f>D20/D21</f>
        <v>72722.052166430396</v>
      </c>
      <c r="O25" s="211"/>
      <c r="P25" s="211"/>
      <c r="Q25" s="211"/>
      <c r="R25" s="211"/>
    </row>
    <row r="26" spans="1:19">
      <c r="A26" s="219" t="s">
        <v>118</v>
      </c>
      <c r="B26" s="152">
        <f>SUM(H36:S36)+C26</f>
        <v>2588000</v>
      </c>
      <c r="C26" s="220">
        <v>0</v>
      </c>
      <c r="G26" s="244" t="s">
        <v>185</v>
      </c>
      <c r="O26" s="211"/>
      <c r="P26" s="211"/>
      <c r="Q26" s="211"/>
      <c r="R26" s="211"/>
    </row>
    <row r="27" spans="1:19">
      <c r="A27" s="219" t="s">
        <v>119</v>
      </c>
      <c r="B27" s="152">
        <f>SUM(H37:S37)+C27</f>
        <v>2588000</v>
      </c>
      <c r="C27" s="220">
        <v>0</v>
      </c>
      <c r="G27" s="82" t="s">
        <v>124</v>
      </c>
      <c r="O27" s="211"/>
      <c r="P27" s="211"/>
      <c r="Q27" s="211"/>
      <c r="R27" s="211"/>
    </row>
    <row r="28" spans="1:19">
      <c r="A28" s="102" t="s">
        <v>115</v>
      </c>
      <c r="B28" s="107"/>
      <c r="C28" s="200"/>
      <c r="D28" s="87"/>
      <c r="E28" s="87"/>
      <c r="F28" s="87"/>
      <c r="G28" s="214" t="s">
        <v>133</v>
      </c>
      <c r="H28" s="215">
        <v>4</v>
      </c>
      <c r="O28" s="211"/>
      <c r="P28" s="211"/>
      <c r="Q28" s="211"/>
      <c r="R28" s="211"/>
    </row>
    <row r="29" spans="1:19">
      <c r="A29" s="219" t="s">
        <v>8</v>
      </c>
      <c r="B29" s="152">
        <f>SUM(H39:S39)+SUM(H43:S43)+C29</f>
        <v>6874375000</v>
      </c>
      <c r="C29" s="220">
        <v>0</v>
      </c>
      <c r="D29" s="87"/>
      <c r="E29" s="87"/>
      <c r="F29" s="87"/>
      <c r="H29" s="347" t="s">
        <v>129</v>
      </c>
      <c r="I29" s="347"/>
      <c r="J29" s="347"/>
      <c r="K29" s="347"/>
      <c r="L29" s="347"/>
      <c r="M29" s="347"/>
      <c r="N29" s="347"/>
      <c r="O29" s="347"/>
      <c r="P29" s="347"/>
      <c r="Q29" s="347"/>
      <c r="R29" s="347"/>
      <c r="S29" s="347"/>
    </row>
    <row r="30" spans="1:19">
      <c r="A30" s="219" t="s">
        <v>120</v>
      </c>
      <c r="B30" s="152">
        <f>SUM(H40:S40)+SUM(H44:S44)+C30</f>
        <v>6604791666.666667</v>
      </c>
      <c r="C30" s="220">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19" t="s">
        <v>116</v>
      </c>
      <c r="B31" s="152">
        <f>SUM(H41:S41)+SUM(H45:S45)+C31</f>
        <v>6604791666.666667</v>
      </c>
      <c r="C31" s="220">
        <v>0</v>
      </c>
      <c r="D31" s="87"/>
      <c r="E31" s="87"/>
      <c r="F31" s="87"/>
      <c r="G31" s="102" t="s">
        <v>42</v>
      </c>
      <c r="H31" s="215">
        <v>50</v>
      </c>
      <c r="I31" s="215">
        <v>-50</v>
      </c>
      <c r="J31" s="215">
        <v>-50</v>
      </c>
      <c r="K31" s="215">
        <v>50</v>
      </c>
      <c r="L31" s="215">
        <v>0</v>
      </c>
      <c r="M31" s="215">
        <v>0</v>
      </c>
      <c r="N31" s="215">
        <v>0</v>
      </c>
      <c r="O31" s="215">
        <v>0</v>
      </c>
      <c r="P31" s="215">
        <v>0</v>
      </c>
      <c r="Q31" s="215">
        <v>0</v>
      </c>
      <c r="R31" s="215">
        <v>0</v>
      </c>
      <c r="S31" s="215">
        <v>0</v>
      </c>
    </row>
    <row r="32" spans="1:19">
      <c r="A32" s="348" t="s">
        <v>190</v>
      </c>
      <c r="B32" s="348"/>
      <c r="C32" s="348"/>
      <c r="D32" s="87"/>
      <c r="E32" s="87"/>
      <c r="F32" s="87"/>
      <c r="G32" s="102" t="s">
        <v>43</v>
      </c>
      <c r="H32" s="215">
        <v>0</v>
      </c>
      <c r="I32" s="215">
        <v>0</v>
      </c>
      <c r="J32" s="215">
        <v>0</v>
      </c>
      <c r="K32" s="215">
        <v>0</v>
      </c>
      <c r="L32" s="215">
        <v>0</v>
      </c>
      <c r="M32" s="215">
        <v>0</v>
      </c>
      <c r="N32" s="215">
        <v>0</v>
      </c>
      <c r="O32" s="215">
        <v>0</v>
      </c>
      <c r="P32" s="215">
        <v>0</v>
      </c>
      <c r="Q32" s="215">
        <v>0</v>
      </c>
      <c r="R32" s="215">
        <v>0</v>
      </c>
      <c r="S32" s="215">
        <v>0</v>
      </c>
    </row>
    <row r="33" spans="1:19">
      <c r="A33" s="348"/>
      <c r="B33" s="348"/>
      <c r="C33" s="348"/>
      <c r="D33" s="87"/>
      <c r="E33" s="87"/>
      <c r="F33" s="87"/>
      <c r="G33" s="102" t="s">
        <v>44</v>
      </c>
      <c r="H33" s="215">
        <v>50</v>
      </c>
      <c r="I33" s="215">
        <v>50</v>
      </c>
      <c r="J33" s="215">
        <v>-50</v>
      </c>
      <c r="K33" s="215">
        <v>-50</v>
      </c>
      <c r="L33" s="215">
        <v>0</v>
      </c>
      <c r="M33" s="215">
        <v>0</v>
      </c>
      <c r="N33" s="215">
        <v>0</v>
      </c>
      <c r="O33" s="215">
        <v>0</v>
      </c>
      <c r="P33" s="215">
        <v>0</v>
      </c>
      <c r="Q33" s="215">
        <v>0</v>
      </c>
      <c r="R33" s="215">
        <v>0</v>
      </c>
      <c r="S33" s="215">
        <v>0</v>
      </c>
    </row>
    <row r="34" spans="1:19">
      <c r="A34" s="348"/>
      <c r="B34" s="348"/>
      <c r="C34" s="348"/>
      <c r="G34" s="82" t="s">
        <v>130</v>
      </c>
      <c r="H34" s="349"/>
      <c r="I34" s="349"/>
      <c r="J34" s="349"/>
      <c r="K34" s="349"/>
    </row>
    <row r="35" spans="1:19">
      <c r="A35" s="222" t="s">
        <v>186</v>
      </c>
      <c r="B35" s="215"/>
      <c r="C35" s="215"/>
      <c r="D35" s="87"/>
      <c r="E35" s="87"/>
      <c r="F35" s="87"/>
      <c r="G35" s="102" t="s">
        <v>117</v>
      </c>
      <c r="H35" s="142">
        <v>0</v>
      </c>
      <c r="I35" s="142">
        <v>0</v>
      </c>
      <c r="J35" s="142">
        <v>0</v>
      </c>
      <c r="K35" s="142">
        <v>0</v>
      </c>
      <c r="L35" s="215">
        <v>0</v>
      </c>
      <c r="M35" s="215">
        <v>0</v>
      </c>
      <c r="N35" s="215">
        <v>0</v>
      </c>
      <c r="O35" s="215">
        <v>0</v>
      </c>
      <c r="P35" s="215">
        <v>0</v>
      </c>
      <c r="Q35" s="215">
        <v>0</v>
      </c>
      <c r="R35" s="215">
        <v>0</v>
      </c>
      <c r="S35" s="215">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5">
        <v>0</v>
      </c>
      <c r="M36" s="215">
        <v>0</v>
      </c>
      <c r="N36" s="215">
        <v>0</v>
      </c>
      <c r="O36" s="215">
        <v>0</v>
      </c>
      <c r="P36" s="215">
        <v>0</v>
      </c>
      <c r="Q36" s="215">
        <v>0</v>
      </c>
      <c r="R36" s="215">
        <v>0</v>
      </c>
      <c r="S36" s="215">
        <v>0</v>
      </c>
    </row>
    <row r="37" spans="1:19">
      <c r="A37" s="102" t="s">
        <v>187</v>
      </c>
      <c r="B37" s="215">
        <v>0</v>
      </c>
      <c r="D37" s="87"/>
      <c r="E37" s="87"/>
      <c r="F37" s="87"/>
      <c r="G37" s="102" t="s">
        <v>119</v>
      </c>
      <c r="H37" s="142">
        <f>H36</f>
        <v>647000</v>
      </c>
      <c r="I37" s="142">
        <f t="shared" ref="I37:K37" si="2">I36</f>
        <v>647000</v>
      </c>
      <c r="J37" s="142">
        <f t="shared" si="2"/>
        <v>647000</v>
      </c>
      <c r="K37" s="142">
        <f t="shared" si="2"/>
        <v>647000</v>
      </c>
      <c r="L37" s="215">
        <v>0</v>
      </c>
      <c r="M37" s="215">
        <v>0</v>
      </c>
      <c r="N37" s="215">
        <v>0</v>
      </c>
      <c r="O37" s="215">
        <v>0</v>
      </c>
      <c r="P37" s="215">
        <v>0</v>
      </c>
      <c r="Q37" s="215">
        <v>0</v>
      </c>
      <c r="R37" s="215">
        <v>0</v>
      </c>
      <c r="S37" s="215">
        <v>0</v>
      </c>
    </row>
    <row r="38" spans="1:19">
      <c r="A38" s="102" t="s">
        <v>188</v>
      </c>
      <c r="B38" s="215">
        <v>0</v>
      </c>
      <c r="D38" s="87"/>
      <c r="E38" s="87"/>
      <c r="F38" s="87"/>
      <c r="G38" s="82" t="s">
        <v>131</v>
      </c>
      <c r="H38" s="349"/>
      <c r="I38" s="349"/>
      <c r="J38" s="349"/>
      <c r="K38" s="349"/>
    </row>
    <row r="39" spans="1:19">
      <c r="A39" s="102" t="s">
        <v>189</v>
      </c>
      <c r="B39" s="215">
        <v>0</v>
      </c>
      <c r="D39" s="87"/>
      <c r="E39" s="87"/>
      <c r="F39" s="87"/>
      <c r="G39" s="102" t="s">
        <v>8</v>
      </c>
      <c r="H39" s="142">
        <f>'ref bearings, servo, structure'!B10</f>
        <v>101093750</v>
      </c>
      <c r="I39" s="142">
        <f>H39</f>
        <v>101093750</v>
      </c>
      <c r="J39" s="142">
        <f t="shared" ref="J39:K39" si="3">I39</f>
        <v>101093750</v>
      </c>
      <c r="K39" s="142">
        <f t="shared" si="3"/>
        <v>101093750</v>
      </c>
      <c r="L39" s="215">
        <v>0</v>
      </c>
      <c r="M39" s="215">
        <v>0</v>
      </c>
      <c r="N39" s="215">
        <v>0</v>
      </c>
      <c r="O39" s="215">
        <v>0</v>
      </c>
      <c r="P39" s="215">
        <v>0</v>
      </c>
      <c r="Q39" s="215">
        <v>0</v>
      </c>
      <c r="R39" s="215">
        <v>0</v>
      </c>
      <c r="S39" s="215">
        <v>0</v>
      </c>
    </row>
    <row r="40" spans="1:19">
      <c r="A40" s="149"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5">
        <v>0</v>
      </c>
      <c r="M40" s="215">
        <v>0</v>
      </c>
      <c r="N40" s="215">
        <v>0</v>
      </c>
      <c r="O40" s="215">
        <v>0</v>
      </c>
      <c r="P40" s="215">
        <v>0</v>
      </c>
      <c r="Q40" s="215">
        <v>0</v>
      </c>
      <c r="R40" s="215">
        <v>0</v>
      </c>
      <c r="S40" s="215">
        <v>0</v>
      </c>
    </row>
    <row r="41" spans="1:19">
      <c r="A41" s="102" t="s">
        <v>187</v>
      </c>
      <c r="B41" s="215">
        <v>0</v>
      </c>
      <c r="G41" s="102" t="s">
        <v>116</v>
      </c>
      <c r="H41" s="142">
        <f>'ref bearings, servo, structure'!B11</f>
        <v>33697916.666666664</v>
      </c>
      <c r="I41" s="142">
        <f t="shared" si="4"/>
        <v>33697916.666666664</v>
      </c>
      <c r="J41" s="142">
        <f t="shared" si="4"/>
        <v>33697916.666666664</v>
      </c>
      <c r="K41" s="142">
        <f t="shared" si="4"/>
        <v>33697916.666666664</v>
      </c>
      <c r="L41" s="215">
        <v>0</v>
      </c>
      <c r="M41" s="215">
        <v>0</v>
      </c>
      <c r="N41" s="215">
        <v>0</v>
      </c>
      <c r="O41" s="215">
        <v>0</v>
      </c>
      <c r="P41" s="215">
        <v>0</v>
      </c>
      <c r="Q41" s="215">
        <v>0</v>
      </c>
      <c r="R41" s="215">
        <v>0</v>
      </c>
      <c r="S41" s="215">
        <v>0</v>
      </c>
    </row>
    <row r="42" spans="1:19">
      <c r="A42" s="102" t="s">
        <v>188</v>
      </c>
      <c r="B42" s="215">
        <v>0</v>
      </c>
      <c r="D42" s="218"/>
      <c r="E42" s="218"/>
      <c r="F42" s="218"/>
      <c r="G42" s="82" t="s">
        <v>125</v>
      </c>
    </row>
    <row r="43" spans="1:19">
      <c r="A43" s="102" t="s">
        <v>189</v>
      </c>
      <c r="B43" s="215">
        <v>0</v>
      </c>
      <c r="D43" s="154"/>
      <c r="E43" s="154"/>
      <c r="F43" s="154"/>
      <c r="G43" s="102" t="s">
        <v>8</v>
      </c>
      <c r="H43" s="152">
        <f>H36*H33^2+H37*H32^2</f>
        <v>1617500000</v>
      </c>
      <c r="I43" s="152">
        <f t="shared" ref="I43:S43" si="5">I36*I33^2+I37*I32^2</f>
        <v>1617500000</v>
      </c>
      <c r="J43" s="152">
        <f t="shared" si="5"/>
        <v>1617500000</v>
      </c>
      <c r="K43" s="152">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6" t="s">
        <v>207</v>
      </c>
      <c r="C44" s="87"/>
      <c r="D44" s="220"/>
      <c r="E44" s="220"/>
      <c r="F44" s="220"/>
      <c r="G44" s="102" t="s">
        <v>120</v>
      </c>
      <c r="H44" s="152">
        <f>H35*H33^2+H37*H31^2</f>
        <v>1617500000</v>
      </c>
      <c r="I44" s="152">
        <f t="shared" ref="I44:S44" si="6">I35*I33^2+I37*I31^2</f>
        <v>1617500000</v>
      </c>
      <c r="J44" s="152">
        <f t="shared" si="6"/>
        <v>1617500000</v>
      </c>
      <c r="K44" s="152">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0"/>
      <c r="E45" s="220"/>
      <c r="F45" s="220"/>
      <c r="G45" s="102" t="s">
        <v>116</v>
      </c>
      <c r="H45" s="152">
        <f>H35*H32^2+H36*H31^2</f>
        <v>1617500000</v>
      </c>
      <c r="I45" s="152">
        <f t="shared" ref="I45:S45" si="7">I35*I32^2+I36*I31^2</f>
        <v>1617500000</v>
      </c>
      <c r="J45" s="152">
        <f t="shared" si="7"/>
        <v>1617500000</v>
      </c>
      <c r="K45" s="152">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SQRT((H48^2+I48^2+J48^2+K48^2+L48^2+M48^2+N48^2+O48^2+P48^2+Q48^2+R48^2+S48^2)/H$28)</f>
        <v>5.0000000000000001E-3</v>
      </c>
      <c r="C46" s="87"/>
      <c r="D46" s="220"/>
      <c r="E46" s="220"/>
      <c r="F46" s="220"/>
      <c r="G46" s="82" t="s">
        <v>307</v>
      </c>
    </row>
    <row r="47" spans="1:19">
      <c r="A47" s="102" t="s">
        <v>123</v>
      </c>
      <c r="B47" s="105">
        <f>SQRT((H49^2+I49^2+J49^2+K49^2+L49^2+M49^2+N49^2+O49^2+P49^2+Q49^2+R49^2+S49^2)/H$28)</f>
        <v>5.0000000000000001E-3</v>
      </c>
      <c r="C47" s="87"/>
      <c r="D47" s="200"/>
      <c r="E47" s="200"/>
      <c r="F47" s="200"/>
      <c r="G47" s="102" t="s">
        <v>121</v>
      </c>
      <c r="H47" s="215">
        <f t="shared" ref="H47:K49" si="8">0.005</f>
        <v>5.0000000000000001E-3</v>
      </c>
      <c r="I47" s="215">
        <f t="shared" si="8"/>
        <v>5.0000000000000001E-3</v>
      </c>
      <c r="J47" s="215">
        <f t="shared" si="8"/>
        <v>5.0000000000000001E-3</v>
      </c>
      <c r="K47" s="215">
        <f t="shared" si="8"/>
        <v>5.0000000000000001E-3</v>
      </c>
      <c r="L47" s="215">
        <v>0</v>
      </c>
      <c r="M47" s="215">
        <v>0</v>
      </c>
      <c r="N47" s="215">
        <v>0</v>
      </c>
      <c r="O47" s="215">
        <v>0</v>
      </c>
      <c r="P47" s="215">
        <v>0</v>
      </c>
      <c r="Q47" s="215">
        <v>0</v>
      </c>
      <c r="R47" s="215">
        <v>0</v>
      </c>
      <c r="S47" s="215">
        <v>0</v>
      </c>
    </row>
    <row r="48" spans="1:19">
      <c r="A48" s="102" t="s">
        <v>85</v>
      </c>
      <c r="B48" s="105">
        <f>SQRT((H51^2+I51^2+J51^2+K51^2+L51^2+M51^2+N51^2+O51^2+P51^2+Q51^2+R51^2+S51^2+B37^2)/H$28)</f>
        <v>1.0000000000000007E-4</v>
      </c>
      <c r="C48" s="87"/>
      <c r="D48" s="220"/>
      <c r="E48" s="220"/>
      <c r="F48" s="220"/>
      <c r="G48" s="102" t="s">
        <v>122</v>
      </c>
      <c r="H48" s="215">
        <f t="shared" si="8"/>
        <v>5.0000000000000001E-3</v>
      </c>
      <c r="I48" s="215">
        <f t="shared" si="8"/>
        <v>5.0000000000000001E-3</v>
      </c>
      <c r="J48" s="215">
        <f t="shared" si="8"/>
        <v>5.0000000000000001E-3</v>
      </c>
      <c r="K48" s="215">
        <f t="shared" si="8"/>
        <v>5.0000000000000001E-3</v>
      </c>
      <c r="L48" s="215">
        <v>0</v>
      </c>
      <c r="M48" s="215">
        <v>0</v>
      </c>
      <c r="N48" s="215">
        <v>0</v>
      </c>
      <c r="O48" s="215">
        <v>0</v>
      </c>
      <c r="P48" s="215">
        <v>0</v>
      </c>
      <c r="Q48" s="215">
        <v>0</v>
      </c>
      <c r="R48" s="215">
        <v>0</v>
      </c>
      <c r="S48" s="215">
        <v>0</v>
      </c>
    </row>
    <row r="49" spans="1:20">
      <c r="A49" s="102" t="s">
        <v>86</v>
      </c>
      <c r="B49" s="105">
        <f>SQRT((H52^2+I52^2+J52^2+K52^2+L52^2+M52^2+N52^2+O52^2+P52^2+Q52^2+R52^2+S52^2+B38^2)/H$28)</f>
        <v>9.9999999000000077E-5</v>
      </c>
      <c r="D49" s="220"/>
      <c r="E49" s="220"/>
      <c r="F49" s="220"/>
      <c r="G49" s="102" t="s">
        <v>123</v>
      </c>
      <c r="H49" s="215">
        <f t="shared" si="8"/>
        <v>5.0000000000000001E-3</v>
      </c>
      <c r="I49" s="215">
        <f t="shared" si="8"/>
        <v>5.0000000000000001E-3</v>
      </c>
      <c r="J49" s="215">
        <f t="shared" si="8"/>
        <v>5.0000000000000001E-3</v>
      </c>
      <c r="K49" s="215">
        <f t="shared" si="8"/>
        <v>5.0000000000000001E-3</v>
      </c>
      <c r="L49" s="215">
        <v>0</v>
      </c>
      <c r="M49" s="215">
        <v>0</v>
      </c>
      <c r="N49" s="215">
        <v>0</v>
      </c>
      <c r="O49" s="215">
        <v>0</v>
      </c>
      <c r="P49" s="215">
        <v>0</v>
      </c>
      <c r="Q49" s="215">
        <v>0</v>
      </c>
      <c r="R49" s="215">
        <v>0</v>
      </c>
      <c r="S49" s="215">
        <v>0</v>
      </c>
    </row>
    <row r="50" spans="1:20">
      <c r="A50" s="102" t="s">
        <v>87</v>
      </c>
      <c r="B50" s="105">
        <f>SQRT((H53^2+I53^2+J53^2+K53^2+L53^2+M53^2+N53^2+O53^2+P53^2+Q53^2+R53^2+S53^2+B39^2)/H$28)</f>
        <v>1.0000000000000007E-4</v>
      </c>
      <c r="C50" s="87"/>
      <c r="D50" s="220"/>
      <c r="E50" s="220"/>
      <c r="F50" s="220"/>
      <c r="G50" s="82" t="s">
        <v>252</v>
      </c>
    </row>
    <row r="51" spans="1:20" ht="45">
      <c r="A51" s="217" t="s">
        <v>208</v>
      </c>
      <c r="B51" s="107"/>
      <c r="C51" s="87"/>
      <c r="D51" s="221"/>
      <c r="E51" s="221"/>
      <c r="F51" s="221"/>
      <c r="G51" s="102" t="s">
        <v>85</v>
      </c>
      <c r="H51" s="152">
        <f>H98</f>
        <v>9.9999998000000053E-5</v>
      </c>
      <c r="I51" s="152">
        <f t="shared" ref="I51:S51" si="9">I98</f>
        <v>9.9999998000000053E-5</v>
      </c>
      <c r="J51" s="152">
        <f t="shared" si="9"/>
        <v>1.0000000200000004E-4</v>
      </c>
      <c r="K51" s="152">
        <f t="shared" si="9"/>
        <v>1.0000000200000004E-4</v>
      </c>
      <c r="L51" s="152">
        <f t="shared" si="9"/>
        <v>0</v>
      </c>
      <c r="M51" s="152">
        <f t="shared" si="9"/>
        <v>0</v>
      </c>
      <c r="N51" s="152">
        <f t="shared" si="9"/>
        <v>0</v>
      </c>
      <c r="O51" s="152">
        <f t="shared" si="9"/>
        <v>0</v>
      </c>
      <c r="P51" s="152">
        <f t="shared" si="9"/>
        <v>0</v>
      </c>
      <c r="Q51" s="152">
        <f t="shared" si="9"/>
        <v>0</v>
      </c>
      <c r="R51" s="152">
        <f t="shared" si="9"/>
        <v>0</v>
      </c>
      <c r="S51" s="152">
        <f t="shared" si="9"/>
        <v>0</v>
      </c>
    </row>
    <row r="52" spans="1:20">
      <c r="A52" s="102" t="s">
        <v>121</v>
      </c>
      <c r="B52" s="105">
        <f>SQRT((H55^2+I55^2+J55^2+K55^2+L55^2+M55^2+N55^2+O55^2+P55^2+Q55^2+R55^2+S55^2)/H$28)</f>
        <v>0</v>
      </c>
      <c r="C52" s="87"/>
      <c r="D52" s="221"/>
      <c r="E52" s="221"/>
      <c r="F52" s="221"/>
      <c r="G52" s="102" t="s">
        <v>86</v>
      </c>
      <c r="H52" s="152">
        <f>H102</f>
        <v>9.9999998000000053E-5</v>
      </c>
      <c r="I52" s="152">
        <f t="shared" ref="I52:S52" si="10">I102</f>
        <v>9.9999998000000053E-5</v>
      </c>
      <c r="J52" s="152">
        <f t="shared" si="10"/>
        <v>1.0000000200000004E-4</v>
      </c>
      <c r="K52" s="152">
        <f t="shared" si="10"/>
        <v>9.9999998000000053E-5</v>
      </c>
      <c r="L52" s="152">
        <f t="shared" si="10"/>
        <v>0</v>
      </c>
      <c r="M52" s="152">
        <f t="shared" si="10"/>
        <v>0</v>
      </c>
      <c r="N52" s="152">
        <f t="shared" si="10"/>
        <v>0</v>
      </c>
      <c r="O52" s="152">
        <f t="shared" si="10"/>
        <v>0</v>
      </c>
      <c r="P52" s="152">
        <f t="shared" si="10"/>
        <v>0</v>
      </c>
      <c r="Q52" s="152">
        <f t="shared" si="10"/>
        <v>0</v>
      </c>
      <c r="R52" s="152">
        <f t="shared" si="10"/>
        <v>0</v>
      </c>
      <c r="S52" s="152">
        <f t="shared" si="10"/>
        <v>0</v>
      </c>
      <c r="T52" s="83"/>
    </row>
    <row r="53" spans="1:20">
      <c r="A53" s="102" t="s">
        <v>122</v>
      </c>
      <c r="B53" s="105">
        <f>SQRT((H56^2+I56^2+J56^2+K56^2+L56^2+M56^2+N56^2+O56^2+P56^2+Q56^2+R56^2+S56^2)/H$28)</f>
        <v>0</v>
      </c>
      <c r="C53" s="87"/>
      <c r="D53" s="221"/>
      <c r="E53" s="221"/>
      <c r="F53" s="221"/>
      <c r="G53" s="102" t="s">
        <v>87</v>
      </c>
      <c r="H53" s="152">
        <f>H106</f>
        <v>9.9999998000000053E-5</v>
      </c>
      <c r="I53" s="152">
        <f t="shared" ref="I53:S53" si="11">I106</f>
        <v>1.0000000200000004E-4</v>
      </c>
      <c r="J53" s="152">
        <f t="shared" si="11"/>
        <v>1.0000000200000004E-4</v>
      </c>
      <c r="K53" s="152">
        <f t="shared" si="11"/>
        <v>9.9999998000000053E-5</v>
      </c>
      <c r="L53" s="152">
        <f t="shared" si="11"/>
        <v>0</v>
      </c>
      <c r="M53" s="152">
        <f t="shared" si="11"/>
        <v>0</v>
      </c>
      <c r="N53" s="152">
        <f t="shared" si="11"/>
        <v>0</v>
      </c>
      <c r="O53" s="152">
        <f t="shared" si="11"/>
        <v>0</v>
      </c>
      <c r="P53" s="152">
        <f t="shared" si="11"/>
        <v>0</v>
      </c>
      <c r="Q53" s="152">
        <f t="shared" si="11"/>
        <v>0</v>
      </c>
      <c r="R53" s="152">
        <f t="shared" si="11"/>
        <v>0</v>
      </c>
      <c r="S53" s="152">
        <f t="shared" si="11"/>
        <v>0</v>
      </c>
    </row>
    <row r="54" spans="1:20">
      <c r="A54" s="102" t="s">
        <v>123</v>
      </c>
      <c r="B54" s="105">
        <f>SQRT((H57^2+I57^2+J57^2+K57^2+L57^2+M57^2+N57^2+O57^2+P57^2+Q57^2+R57^2+S57^2)/H$28)</f>
        <v>0</v>
      </c>
      <c r="C54" s="87"/>
      <c r="D54" s="215"/>
      <c r="E54" s="215"/>
      <c r="F54" s="215"/>
      <c r="G54" s="82" t="s">
        <v>333</v>
      </c>
    </row>
    <row r="55" spans="1:20">
      <c r="A55" s="102" t="s">
        <v>85</v>
      </c>
      <c r="B55" s="105">
        <f>SQRT((H59^2+I59^2+J59^2+K59^2+L59^2+M59^2+N59^2+O59^2+P59^2+Q59^2+R59^2+S59^2+B41^2)/H$28)</f>
        <v>0</v>
      </c>
      <c r="C55" s="87"/>
      <c r="G55" s="102" t="s">
        <v>121</v>
      </c>
      <c r="H55" s="215">
        <v>0</v>
      </c>
      <c r="I55" s="215">
        <v>0</v>
      </c>
      <c r="J55" s="215">
        <v>0</v>
      </c>
      <c r="K55" s="215">
        <v>0</v>
      </c>
      <c r="L55" s="215">
        <v>0</v>
      </c>
      <c r="M55" s="215">
        <v>0</v>
      </c>
      <c r="N55" s="215">
        <v>0</v>
      </c>
      <c r="O55" s="215">
        <v>0</v>
      </c>
      <c r="P55" s="215">
        <v>0</v>
      </c>
      <c r="Q55" s="215">
        <v>0</v>
      </c>
      <c r="R55" s="215">
        <v>0</v>
      </c>
      <c r="S55" s="215">
        <v>0</v>
      </c>
    </row>
    <row r="56" spans="1:20">
      <c r="A56" s="102" t="s">
        <v>86</v>
      </c>
      <c r="B56" s="105">
        <f>SQRT((H60^2+I60^2+J60^2+K60^2+L60^2+M60^2+N60^2+O60^2+P60^2+Q60^2+R60^2+S60^2+B42^2)/H$28)</f>
        <v>0</v>
      </c>
      <c r="G56" s="102" t="s">
        <v>122</v>
      </c>
      <c r="H56" s="215">
        <v>0</v>
      </c>
      <c r="I56" s="215">
        <v>0</v>
      </c>
      <c r="J56" s="215">
        <v>0</v>
      </c>
      <c r="K56" s="215">
        <v>0</v>
      </c>
      <c r="L56" s="215">
        <v>0</v>
      </c>
      <c r="M56" s="215">
        <v>0</v>
      </c>
      <c r="N56" s="215">
        <v>0</v>
      </c>
      <c r="O56" s="215">
        <v>0</v>
      </c>
      <c r="P56" s="215">
        <v>0</v>
      </c>
      <c r="Q56" s="215">
        <v>0</v>
      </c>
      <c r="R56" s="215">
        <v>0</v>
      </c>
      <c r="S56" s="215">
        <v>0</v>
      </c>
    </row>
    <row r="57" spans="1:20">
      <c r="A57" s="102" t="s">
        <v>87</v>
      </c>
      <c r="B57" s="105">
        <f>SQRT((H61^2+I61^2+J61^2+K61^2+L61^2+M61^2+N61^2+O61^2+P61^2+Q61^2+R61^2+S61^2+B43^2)/H$28)</f>
        <v>0</v>
      </c>
      <c r="G57" s="102" t="s">
        <v>123</v>
      </c>
      <c r="H57" s="215">
        <v>0</v>
      </c>
      <c r="I57" s="215">
        <v>0</v>
      </c>
      <c r="J57" s="215">
        <v>0</v>
      </c>
      <c r="K57" s="215">
        <v>0</v>
      </c>
      <c r="L57" s="215">
        <v>0</v>
      </c>
      <c r="M57" s="215">
        <v>0</v>
      </c>
      <c r="N57" s="215">
        <v>0</v>
      </c>
      <c r="O57" s="215">
        <v>0</v>
      </c>
      <c r="P57" s="215">
        <v>0</v>
      </c>
      <c r="Q57" s="215">
        <v>0</v>
      </c>
      <c r="R57" s="215">
        <v>0</v>
      </c>
      <c r="S57" s="215">
        <v>0</v>
      </c>
    </row>
    <row r="58" spans="1:20">
      <c r="G58" s="82" t="s">
        <v>253</v>
      </c>
    </row>
    <row r="59" spans="1:20">
      <c r="G59" s="102" t="s">
        <v>85</v>
      </c>
      <c r="H59" s="223">
        <f>H113</f>
        <v>0</v>
      </c>
      <c r="I59" s="223">
        <f t="shared" ref="I59:S59" si="12">I113</f>
        <v>0</v>
      </c>
      <c r="J59" s="223">
        <f t="shared" si="12"/>
        <v>0</v>
      </c>
      <c r="K59" s="223">
        <f t="shared" si="12"/>
        <v>0</v>
      </c>
      <c r="L59" s="223">
        <f t="shared" si="12"/>
        <v>0</v>
      </c>
      <c r="M59" s="223">
        <f t="shared" si="12"/>
        <v>0</v>
      </c>
      <c r="N59" s="223">
        <f t="shared" si="12"/>
        <v>0</v>
      </c>
      <c r="O59" s="223">
        <f t="shared" si="12"/>
        <v>0</v>
      </c>
      <c r="P59" s="223">
        <f t="shared" si="12"/>
        <v>0</v>
      </c>
      <c r="Q59" s="223">
        <f t="shared" si="12"/>
        <v>0</v>
      </c>
      <c r="R59" s="223">
        <f t="shared" si="12"/>
        <v>0</v>
      </c>
      <c r="S59" s="223">
        <f t="shared" si="12"/>
        <v>0</v>
      </c>
    </row>
    <row r="60" spans="1:20">
      <c r="G60" s="102" t="s">
        <v>86</v>
      </c>
      <c r="H60" s="223">
        <f>H118</f>
        <v>0</v>
      </c>
      <c r="I60" s="223">
        <f t="shared" ref="I60:S60" si="13">I118</f>
        <v>0</v>
      </c>
      <c r="J60" s="223">
        <f t="shared" si="13"/>
        <v>0</v>
      </c>
      <c r="K60" s="223">
        <f t="shared" si="13"/>
        <v>0</v>
      </c>
      <c r="L60" s="223">
        <f t="shared" si="13"/>
        <v>0</v>
      </c>
      <c r="M60" s="223">
        <f t="shared" si="13"/>
        <v>0</v>
      </c>
      <c r="N60" s="223">
        <f t="shared" si="13"/>
        <v>0</v>
      </c>
      <c r="O60" s="223">
        <f t="shared" si="13"/>
        <v>0</v>
      </c>
      <c r="P60" s="223">
        <f t="shared" si="13"/>
        <v>0</v>
      </c>
      <c r="Q60" s="223">
        <f t="shared" si="13"/>
        <v>0</v>
      </c>
      <c r="R60" s="223">
        <f t="shared" si="13"/>
        <v>0</v>
      </c>
      <c r="S60" s="223">
        <f t="shared" si="13"/>
        <v>0</v>
      </c>
    </row>
    <row r="61" spans="1:20">
      <c r="G61" s="102" t="s">
        <v>87</v>
      </c>
      <c r="H61" s="223">
        <f>H123</f>
        <v>0</v>
      </c>
      <c r="I61" s="223">
        <f t="shared" ref="I61:S61" si="14">I123</f>
        <v>0</v>
      </c>
      <c r="J61" s="223">
        <f t="shared" si="14"/>
        <v>0</v>
      </c>
      <c r="K61" s="223">
        <f t="shared" si="14"/>
        <v>0</v>
      </c>
      <c r="L61" s="223">
        <f t="shared" si="14"/>
        <v>0</v>
      </c>
      <c r="M61" s="223">
        <f t="shared" si="14"/>
        <v>0</v>
      </c>
      <c r="N61" s="223">
        <f t="shared" si="14"/>
        <v>0</v>
      </c>
      <c r="O61" s="223">
        <f t="shared" si="14"/>
        <v>0</v>
      </c>
      <c r="P61" s="223">
        <f t="shared" si="14"/>
        <v>0</v>
      </c>
      <c r="Q61" s="223">
        <f t="shared" si="14"/>
        <v>0</v>
      </c>
      <c r="R61" s="223">
        <f t="shared" si="14"/>
        <v>0</v>
      </c>
      <c r="S61" s="223">
        <f t="shared" si="14"/>
        <v>0</v>
      </c>
    </row>
    <row r="62" spans="1:20">
      <c r="G62" s="216"/>
    </row>
    <row r="63" spans="1:20">
      <c r="I63" s="118"/>
      <c r="J63" s="118"/>
      <c r="K63" s="118"/>
      <c r="L63" s="118"/>
      <c r="M63" s="118"/>
      <c r="N63" s="118"/>
    </row>
    <row r="64" spans="1:20">
      <c r="G64" s="119"/>
      <c r="H64" s="326"/>
      <c r="I64" s="147"/>
      <c r="J64" s="147"/>
      <c r="K64" s="147"/>
      <c r="L64" s="147"/>
      <c r="M64" s="147"/>
      <c r="N64" s="147"/>
      <c r="O64" s="118"/>
    </row>
    <row r="65" spans="1:15">
      <c r="G65" s="119"/>
      <c r="H65" s="326"/>
      <c r="I65" s="147"/>
      <c r="J65" s="147"/>
      <c r="K65" s="147"/>
      <c r="L65" s="147"/>
      <c r="M65" s="147"/>
      <c r="N65" s="147"/>
      <c r="O65" s="118"/>
    </row>
    <row r="66" spans="1:15">
      <c r="G66" s="119"/>
      <c r="H66" s="326"/>
      <c r="I66" s="147"/>
      <c r="J66" s="147"/>
      <c r="K66" s="147"/>
      <c r="L66" s="147"/>
      <c r="M66" s="147"/>
      <c r="N66" s="147"/>
      <c r="O66" s="118"/>
    </row>
    <row r="67" spans="1:15">
      <c r="G67" s="119"/>
      <c r="H67" s="326"/>
      <c r="I67" s="147"/>
      <c r="J67" s="147"/>
      <c r="K67" s="147"/>
      <c r="L67" s="147"/>
      <c r="M67" s="147"/>
      <c r="N67" s="147"/>
      <c r="O67" s="118"/>
    </row>
    <row r="68" spans="1:15">
      <c r="G68" s="119"/>
      <c r="H68" s="326"/>
      <c r="I68" s="147"/>
      <c r="J68" s="147"/>
      <c r="K68" s="147"/>
      <c r="L68" s="147"/>
      <c r="M68" s="147"/>
      <c r="N68" s="147"/>
      <c r="O68" s="118"/>
    </row>
    <row r="69" spans="1:15">
      <c r="G69" s="119"/>
      <c r="H69" s="326"/>
      <c r="I69" s="147"/>
      <c r="J69" s="147"/>
      <c r="K69" s="147"/>
      <c r="L69" s="147"/>
      <c r="M69" s="147"/>
      <c r="N69" s="147"/>
      <c r="O69" s="118"/>
    </row>
    <row r="70" spans="1:15">
      <c r="G70" s="119"/>
      <c r="H70" s="195"/>
      <c r="I70" s="224"/>
      <c r="J70" s="224"/>
      <c r="K70" s="224"/>
      <c r="L70" s="224"/>
      <c r="M70" s="224"/>
      <c r="N70" s="224"/>
      <c r="O70" s="118"/>
    </row>
    <row r="71" spans="1:15">
      <c r="G71" s="119"/>
      <c r="H71" s="195"/>
      <c r="I71" s="224"/>
      <c r="J71" s="224"/>
      <c r="K71" s="224"/>
      <c r="L71" s="224"/>
      <c r="M71" s="224"/>
      <c r="N71" s="224"/>
      <c r="O71" s="118"/>
    </row>
    <row r="72" spans="1:15">
      <c r="G72" s="119"/>
      <c r="H72" s="195"/>
      <c r="I72" s="224"/>
      <c r="J72" s="224"/>
      <c r="K72" s="224"/>
      <c r="L72" s="224"/>
      <c r="M72" s="224"/>
      <c r="N72" s="224"/>
      <c r="O72" s="118"/>
    </row>
    <row r="73" spans="1:15">
      <c r="G73" s="119"/>
      <c r="H73" s="195"/>
      <c r="I73" s="224"/>
      <c r="J73" s="224"/>
      <c r="K73" s="224"/>
      <c r="L73" s="224"/>
      <c r="M73" s="224"/>
      <c r="N73" s="224"/>
      <c r="O73" s="118"/>
    </row>
    <row r="74" spans="1:15">
      <c r="G74" s="119"/>
      <c r="H74" s="195"/>
      <c r="I74" s="224"/>
      <c r="J74" s="224"/>
      <c r="K74" s="224"/>
      <c r="L74" s="224"/>
      <c r="M74" s="224"/>
      <c r="N74" s="224"/>
      <c r="O74" s="118"/>
    </row>
    <row r="75" spans="1:15">
      <c r="G75" s="119"/>
      <c r="H75" s="195"/>
      <c r="I75" s="224"/>
      <c r="J75" s="224"/>
      <c r="K75" s="224"/>
      <c r="L75" s="224"/>
      <c r="M75" s="224"/>
      <c r="N75" s="224"/>
      <c r="O75" s="118"/>
    </row>
    <row r="76" spans="1:15">
      <c r="G76" s="119"/>
      <c r="H76" s="195"/>
      <c r="I76" s="224"/>
      <c r="J76" s="224"/>
      <c r="K76" s="224"/>
      <c r="L76" s="224"/>
      <c r="M76" s="224"/>
      <c r="N76" s="224"/>
      <c r="O76" s="118"/>
    </row>
    <row r="77" spans="1:15">
      <c r="G77" s="119"/>
      <c r="H77" s="195"/>
      <c r="I77" s="224"/>
      <c r="J77" s="224"/>
      <c r="K77" s="224"/>
      <c r="L77" s="224"/>
      <c r="M77" s="224"/>
      <c r="N77" s="224"/>
      <c r="O77" s="118"/>
    </row>
    <row r="78" spans="1:15">
      <c r="A78" s="102"/>
      <c r="B78" s="211"/>
      <c r="G78" s="119"/>
      <c r="H78" s="195"/>
      <c r="I78" s="224"/>
      <c r="J78" s="224"/>
      <c r="K78" s="224"/>
      <c r="L78" s="224"/>
      <c r="M78" s="224"/>
      <c r="N78" s="224"/>
      <c r="O78" s="118"/>
    </row>
    <row r="79" spans="1:15">
      <c r="A79" s="102"/>
      <c r="B79" s="211"/>
      <c r="G79" s="119"/>
      <c r="H79" s="195"/>
      <c r="I79" s="224"/>
      <c r="J79" s="224"/>
      <c r="K79" s="224"/>
      <c r="L79" s="224"/>
      <c r="M79" s="224"/>
      <c r="N79" s="224"/>
      <c r="O79" s="118"/>
    </row>
    <row r="80" spans="1:15">
      <c r="A80" s="102"/>
      <c r="B80" s="211"/>
      <c r="G80" s="119"/>
      <c r="H80" s="195"/>
      <c r="I80" s="224"/>
      <c r="J80" s="224"/>
      <c r="K80" s="224"/>
      <c r="L80" s="224"/>
      <c r="M80" s="224"/>
      <c r="N80" s="224"/>
      <c r="O80" s="118"/>
    </row>
    <row r="81" spans="1:19">
      <c r="A81" s="102"/>
      <c r="B81" s="211"/>
      <c r="G81" s="119"/>
      <c r="H81" s="195"/>
      <c r="I81" s="224"/>
      <c r="J81" s="224"/>
      <c r="K81" s="224"/>
      <c r="L81" s="224"/>
      <c r="M81" s="224"/>
      <c r="N81" s="224"/>
      <c r="O81" s="118"/>
    </row>
    <row r="82" spans="1:19">
      <c r="A82" s="102"/>
      <c r="B82" s="211"/>
      <c r="G82" s="119"/>
      <c r="H82" s="195"/>
      <c r="I82" s="224"/>
      <c r="J82" s="224"/>
      <c r="K82" s="224"/>
      <c r="L82" s="224"/>
      <c r="M82" s="224"/>
      <c r="N82" s="224"/>
      <c r="O82" s="118"/>
    </row>
    <row r="83" spans="1:19">
      <c r="A83" s="102"/>
      <c r="B83" s="211"/>
      <c r="G83" s="119"/>
      <c r="H83" s="195"/>
      <c r="I83" s="224"/>
      <c r="J83" s="224"/>
      <c r="K83" s="224"/>
      <c r="L83" s="224"/>
      <c r="M83" s="224"/>
      <c r="N83" s="224"/>
      <c r="O83" s="118"/>
    </row>
    <row r="84" spans="1:19">
      <c r="A84" s="102"/>
      <c r="B84" s="211"/>
      <c r="G84" s="119"/>
      <c r="H84" s="195"/>
      <c r="I84" s="224"/>
      <c r="J84" s="224"/>
      <c r="K84" s="224"/>
      <c r="L84" s="224"/>
      <c r="M84" s="224"/>
      <c r="N84" s="224"/>
      <c r="O84" s="118"/>
    </row>
    <row r="85" spans="1:19">
      <c r="A85" s="102"/>
      <c r="B85" s="211"/>
      <c r="G85" s="119"/>
      <c r="H85" s="195"/>
      <c r="I85" s="224"/>
      <c r="J85" s="224"/>
      <c r="K85" s="224"/>
      <c r="L85" s="224"/>
      <c r="M85" s="224"/>
      <c r="N85" s="224"/>
      <c r="O85" s="118"/>
    </row>
    <row r="86" spans="1:19">
      <c r="A86" s="102"/>
      <c r="B86" s="211"/>
      <c r="G86" s="119"/>
      <c r="H86" s="195"/>
      <c r="I86" s="224"/>
      <c r="J86" s="224"/>
      <c r="K86" s="224"/>
      <c r="L86" s="224"/>
      <c r="M86" s="224"/>
      <c r="N86" s="224"/>
      <c r="O86" s="118"/>
    </row>
    <row r="87" spans="1:19">
      <c r="A87" s="102"/>
      <c r="B87" s="211"/>
      <c r="G87" s="119"/>
      <c r="H87" s="195"/>
      <c r="I87" s="224"/>
      <c r="J87" s="224"/>
      <c r="K87" s="224"/>
      <c r="L87" s="224"/>
      <c r="M87" s="224"/>
      <c r="N87" s="224"/>
      <c r="O87" s="118"/>
    </row>
    <row r="88" spans="1:19">
      <c r="A88" s="102"/>
      <c r="B88" s="211"/>
      <c r="G88" s="119"/>
      <c r="H88" s="195"/>
      <c r="I88" s="224"/>
      <c r="J88" s="224"/>
      <c r="K88" s="224"/>
      <c r="L88" s="224"/>
      <c r="M88" s="224"/>
      <c r="N88" s="224"/>
      <c r="O88" s="118"/>
    </row>
    <row r="89" spans="1:19">
      <c r="A89" s="102"/>
      <c r="B89" s="211"/>
      <c r="G89" s="119"/>
      <c r="H89" s="195"/>
      <c r="I89" s="224"/>
      <c r="J89" s="224"/>
      <c r="K89" s="224"/>
      <c r="L89" s="224"/>
      <c r="M89" s="224"/>
      <c r="N89" s="224"/>
      <c r="O89" s="118"/>
    </row>
    <row r="90" spans="1:19">
      <c r="A90" s="102"/>
      <c r="B90" s="211"/>
      <c r="G90" s="119"/>
      <c r="H90" s="195"/>
      <c r="I90" s="224"/>
      <c r="J90" s="224"/>
      <c r="K90" s="224"/>
      <c r="L90" s="224"/>
      <c r="M90" s="224"/>
      <c r="N90" s="224"/>
      <c r="O90" s="118"/>
    </row>
    <row r="91" spans="1:19">
      <c r="A91" s="102"/>
      <c r="B91" s="211"/>
    </row>
    <row r="92" spans="1:19">
      <c r="A92" s="102"/>
      <c r="B92" s="211"/>
    </row>
    <row r="93" spans="1:19">
      <c r="A93" s="102"/>
      <c r="B93" s="211"/>
    </row>
    <row r="94" spans="1:19">
      <c r="A94" s="102"/>
      <c r="B94" s="211"/>
      <c r="G94" s="225" t="s">
        <v>260</v>
      </c>
    </row>
    <row r="95" spans="1:19">
      <c r="A95" s="102"/>
      <c r="B95" s="211"/>
      <c r="G95" s="213"/>
      <c r="H95" s="149" t="s">
        <v>261</v>
      </c>
    </row>
    <row r="96" spans="1:19">
      <c r="A96" s="102"/>
      <c r="B96" s="211"/>
      <c r="G96" s="149" t="s">
        <v>259</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c r="A97" s="102"/>
      <c r="B97" s="211"/>
      <c r="G97" s="149" t="s">
        <v>259</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c r="A98" s="102"/>
      <c r="B98" s="211"/>
      <c r="G98" s="81" t="s">
        <v>257</v>
      </c>
      <c r="H98" s="226">
        <f>IF(MIN(H96,H97)&gt;1,0,MIN(H96,H97))</f>
        <v>9.9999998000000053E-5</v>
      </c>
      <c r="I98" s="226">
        <f t="shared" ref="I98:S98" si="17">IF(MIN(I96,I97)&gt;1,0,MIN(I96,I97))</f>
        <v>9.9999998000000053E-5</v>
      </c>
      <c r="J98" s="226">
        <f t="shared" si="17"/>
        <v>1.0000000200000004E-4</v>
      </c>
      <c r="K98" s="226">
        <f t="shared" si="17"/>
        <v>1.0000000200000004E-4</v>
      </c>
      <c r="L98" s="226">
        <f t="shared" si="17"/>
        <v>0</v>
      </c>
      <c r="M98" s="226">
        <f t="shared" si="17"/>
        <v>0</v>
      </c>
      <c r="N98" s="226">
        <f t="shared" si="17"/>
        <v>0</v>
      </c>
      <c r="O98" s="226">
        <f t="shared" si="17"/>
        <v>0</v>
      </c>
      <c r="P98" s="226">
        <f t="shared" si="17"/>
        <v>0</v>
      </c>
      <c r="Q98" s="226">
        <f t="shared" si="17"/>
        <v>0</v>
      </c>
      <c r="R98" s="226">
        <f t="shared" si="17"/>
        <v>0</v>
      </c>
      <c r="S98" s="226">
        <f t="shared" si="17"/>
        <v>0</v>
      </c>
    </row>
    <row r="99" spans="1:19">
      <c r="A99" s="102"/>
      <c r="B99" s="211"/>
      <c r="H99" s="149" t="s">
        <v>262</v>
      </c>
      <c r="I99" s="149"/>
      <c r="J99" s="149"/>
      <c r="K99" s="149"/>
      <c r="L99" s="149"/>
      <c r="M99" s="149"/>
      <c r="N99" s="149"/>
      <c r="O99" s="149"/>
      <c r="P99" s="149"/>
      <c r="Q99" s="149"/>
      <c r="R99" s="149"/>
      <c r="S99" s="149"/>
    </row>
    <row r="100" spans="1:19">
      <c r="A100" s="102"/>
      <c r="B100" s="211"/>
      <c r="G100" s="115" t="s">
        <v>259</v>
      </c>
      <c r="H100" s="154">
        <f t="shared" ref="H100:S100" si="18">H49/ABS(H31+0.000001)</f>
        <v>9.9999998000000053E-5</v>
      </c>
      <c r="I100" s="154">
        <f t="shared" si="18"/>
        <v>1.0000000200000004E-4</v>
      </c>
      <c r="J100" s="154">
        <f t="shared" si="18"/>
        <v>1.0000000200000004E-4</v>
      </c>
      <c r="K100" s="154">
        <f t="shared" si="18"/>
        <v>9.9999998000000053E-5</v>
      </c>
      <c r="L100" s="154">
        <f t="shared" si="18"/>
        <v>0</v>
      </c>
      <c r="M100" s="154">
        <f t="shared" si="18"/>
        <v>0</v>
      </c>
      <c r="N100" s="154">
        <f t="shared" si="18"/>
        <v>0</v>
      </c>
      <c r="O100" s="154">
        <f t="shared" si="18"/>
        <v>0</v>
      </c>
      <c r="P100" s="154">
        <f t="shared" si="18"/>
        <v>0</v>
      </c>
      <c r="Q100" s="154">
        <f t="shared" si="18"/>
        <v>0</v>
      </c>
      <c r="R100" s="154">
        <f t="shared" si="18"/>
        <v>0</v>
      </c>
      <c r="S100" s="154">
        <f t="shared" si="18"/>
        <v>0</v>
      </c>
    </row>
    <row r="101" spans="1:19">
      <c r="A101" s="102"/>
      <c r="B101" s="211"/>
      <c r="G101" s="115" t="s">
        <v>259</v>
      </c>
      <c r="H101" s="227">
        <f t="shared" ref="H101:S101" si="19">H47/ABS(H33+0.000001)</f>
        <v>9.9999998000000053E-5</v>
      </c>
      <c r="I101" s="227">
        <f t="shared" si="19"/>
        <v>9.9999998000000053E-5</v>
      </c>
      <c r="J101" s="227">
        <f t="shared" si="19"/>
        <v>1.0000000200000004E-4</v>
      </c>
      <c r="K101" s="227">
        <f t="shared" si="19"/>
        <v>1.0000000200000004E-4</v>
      </c>
      <c r="L101" s="227">
        <f t="shared" si="19"/>
        <v>0</v>
      </c>
      <c r="M101" s="227">
        <f t="shared" si="19"/>
        <v>0</v>
      </c>
      <c r="N101" s="227">
        <f t="shared" si="19"/>
        <v>0</v>
      </c>
      <c r="O101" s="227">
        <f t="shared" si="19"/>
        <v>0</v>
      </c>
      <c r="P101" s="227">
        <f t="shared" si="19"/>
        <v>0</v>
      </c>
      <c r="Q101" s="227">
        <f t="shared" si="19"/>
        <v>0</v>
      </c>
      <c r="R101" s="227">
        <f t="shared" si="19"/>
        <v>0</v>
      </c>
      <c r="S101" s="227">
        <f t="shared" si="19"/>
        <v>0</v>
      </c>
    </row>
    <row r="102" spans="1:19">
      <c r="A102" s="102"/>
      <c r="B102" s="211"/>
      <c r="G102" s="81" t="s">
        <v>257</v>
      </c>
      <c r="H102" s="226">
        <f>IF(MIN(H100,H101)&gt;1,0,MIN(H100,H101))</f>
        <v>9.9999998000000053E-5</v>
      </c>
      <c r="I102" s="226">
        <f t="shared" ref="I102:S102" si="20">IF(MIN(I100,I101)&gt;1,0,MIN(I100,I101))</f>
        <v>9.9999998000000053E-5</v>
      </c>
      <c r="J102" s="226">
        <f t="shared" si="20"/>
        <v>1.0000000200000004E-4</v>
      </c>
      <c r="K102" s="226">
        <f t="shared" si="20"/>
        <v>9.9999998000000053E-5</v>
      </c>
      <c r="L102" s="226">
        <f t="shared" si="20"/>
        <v>0</v>
      </c>
      <c r="M102" s="226">
        <f t="shared" si="20"/>
        <v>0</v>
      </c>
      <c r="N102" s="226">
        <f t="shared" si="20"/>
        <v>0</v>
      </c>
      <c r="O102" s="226">
        <f t="shared" si="20"/>
        <v>0</v>
      </c>
      <c r="P102" s="226">
        <f t="shared" si="20"/>
        <v>0</v>
      </c>
      <c r="Q102" s="226">
        <f t="shared" si="20"/>
        <v>0</v>
      </c>
      <c r="R102" s="226">
        <f t="shared" si="20"/>
        <v>0</v>
      </c>
      <c r="S102" s="226">
        <f t="shared" si="20"/>
        <v>0</v>
      </c>
    </row>
    <row r="103" spans="1:19">
      <c r="A103" s="102"/>
      <c r="B103" s="211"/>
      <c r="H103" s="81" t="s">
        <v>263</v>
      </c>
    </row>
    <row r="104" spans="1:19">
      <c r="A104" s="102"/>
      <c r="B104" s="211"/>
      <c r="G104" s="149" t="s">
        <v>259</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c r="A105" s="102"/>
      <c r="B105" s="211"/>
      <c r="G105" s="149" t="s">
        <v>259</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c r="A106" s="102"/>
      <c r="B106" s="211"/>
      <c r="G106" s="81" t="s">
        <v>257</v>
      </c>
      <c r="H106" s="226">
        <f>IF(MIN(H104,H105)&gt;1,0,MIN(H104,H105))</f>
        <v>9.9999998000000053E-5</v>
      </c>
      <c r="I106" s="226">
        <f t="shared" ref="I106:S106" si="23">IF(MIN(I104,I105)&gt;1,0,MIN(I104,I105))</f>
        <v>1.0000000200000004E-4</v>
      </c>
      <c r="J106" s="226">
        <f t="shared" si="23"/>
        <v>1.0000000200000004E-4</v>
      </c>
      <c r="K106" s="226">
        <f t="shared" si="23"/>
        <v>9.9999998000000053E-5</v>
      </c>
      <c r="L106" s="226">
        <f t="shared" si="23"/>
        <v>0</v>
      </c>
      <c r="M106" s="226">
        <f t="shared" si="23"/>
        <v>0</v>
      </c>
      <c r="N106" s="226">
        <f t="shared" si="23"/>
        <v>0</v>
      </c>
      <c r="O106" s="226">
        <f t="shared" si="23"/>
        <v>0</v>
      </c>
      <c r="P106" s="226">
        <f t="shared" si="23"/>
        <v>0</v>
      </c>
      <c r="Q106" s="226">
        <f t="shared" si="23"/>
        <v>0</v>
      </c>
      <c r="R106" s="226">
        <f t="shared" si="23"/>
        <v>0</v>
      </c>
      <c r="S106" s="226">
        <f t="shared" si="23"/>
        <v>0</v>
      </c>
    </row>
    <row r="107" spans="1:19">
      <c r="A107" s="102"/>
      <c r="B107" s="211"/>
    </row>
    <row r="108" spans="1:19">
      <c r="G108" s="225" t="s">
        <v>308</v>
      </c>
      <c r="H108" s="225"/>
      <c r="I108" s="225"/>
      <c r="J108" s="225"/>
      <c r="K108" s="225"/>
      <c r="L108" s="225"/>
      <c r="M108" s="225"/>
      <c r="N108" s="225"/>
      <c r="O108" s="225"/>
      <c r="P108" s="225"/>
    </row>
    <row r="109" spans="1:19">
      <c r="H109" s="102" t="s">
        <v>254</v>
      </c>
      <c r="I109" s="102"/>
      <c r="J109" s="102"/>
      <c r="K109" s="102"/>
      <c r="L109" s="102"/>
      <c r="M109" s="102"/>
      <c r="N109" s="102"/>
      <c r="O109" s="102"/>
      <c r="P109" s="102"/>
      <c r="Q109" s="102"/>
      <c r="R109" s="102"/>
      <c r="S109" s="102"/>
    </row>
    <row r="110" spans="1:19">
      <c r="G110" s="149" t="s">
        <v>259</v>
      </c>
      <c r="H110" s="226">
        <f t="shared" ref="H110:S110" si="24">H56/(H33+0.000001)</f>
        <v>0</v>
      </c>
      <c r="I110" s="226">
        <f t="shared" si="24"/>
        <v>0</v>
      </c>
      <c r="J110" s="226">
        <f t="shared" si="24"/>
        <v>0</v>
      </c>
      <c r="K110" s="226">
        <f t="shared" si="24"/>
        <v>0</v>
      </c>
      <c r="L110" s="226">
        <f t="shared" si="24"/>
        <v>0</v>
      </c>
      <c r="M110" s="226">
        <f t="shared" si="24"/>
        <v>0</v>
      </c>
      <c r="N110" s="226">
        <f t="shared" si="24"/>
        <v>0</v>
      </c>
      <c r="O110" s="226">
        <f t="shared" si="24"/>
        <v>0</v>
      </c>
      <c r="P110" s="226">
        <f t="shared" si="24"/>
        <v>0</v>
      </c>
      <c r="Q110" s="226">
        <f t="shared" si="24"/>
        <v>0</v>
      </c>
      <c r="R110" s="226">
        <f t="shared" si="24"/>
        <v>0</v>
      </c>
      <c r="S110" s="226">
        <f t="shared" si="24"/>
        <v>0</v>
      </c>
    </row>
    <row r="111" spans="1:19">
      <c r="G111" s="149" t="s">
        <v>259</v>
      </c>
      <c r="H111" s="228">
        <f t="shared" ref="H111:S111" si="25">H57/(H32+0.000001)</f>
        <v>0</v>
      </c>
      <c r="I111" s="228">
        <f t="shared" si="25"/>
        <v>0</v>
      </c>
      <c r="J111" s="228">
        <f t="shared" si="25"/>
        <v>0</v>
      </c>
      <c r="K111" s="228">
        <f t="shared" si="25"/>
        <v>0</v>
      </c>
      <c r="L111" s="228">
        <f t="shared" si="25"/>
        <v>0</v>
      </c>
      <c r="M111" s="228">
        <f t="shared" si="25"/>
        <v>0</v>
      </c>
      <c r="N111" s="228">
        <f t="shared" si="25"/>
        <v>0</v>
      </c>
      <c r="O111" s="228">
        <f t="shared" si="25"/>
        <v>0</v>
      </c>
      <c r="P111" s="228">
        <f t="shared" si="25"/>
        <v>0</v>
      </c>
      <c r="Q111" s="228">
        <f t="shared" si="25"/>
        <v>0</v>
      </c>
      <c r="R111" s="228">
        <f t="shared" si="25"/>
        <v>0</v>
      </c>
      <c r="S111" s="228">
        <f t="shared" si="25"/>
        <v>0</v>
      </c>
    </row>
    <row r="112" spans="1:19">
      <c r="G112" s="81" t="s">
        <v>258</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c r="G113" s="81" t="s">
        <v>257</v>
      </c>
      <c r="H113" s="226">
        <f>IF(H112*MIN(ABS(H110),ABS(H111))&gt;1,0,H112*MIN(ABS(H110),ABS(H111)))</f>
        <v>0</v>
      </c>
      <c r="I113" s="226">
        <f t="shared" ref="I113:S113" si="27">IF(I112*MIN(ABS(I110),ABS(I111))&gt;1,0,I112*MIN(ABS(I110),ABS(I111)))</f>
        <v>0</v>
      </c>
      <c r="J113" s="226">
        <f t="shared" si="27"/>
        <v>0</v>
      </c>
      <c r="K113" s="226">
        <f t="shared" si="27"/>
        <v>0</v>
      </c>
      <c r="L113" s="226">
        <f t="shared" si="27"/>
        <v>0</v>
      </c>
      <c r="M113" s="226">
        <f t="shared" si="27"/>
        <v>0</v>
      </c>
      <c r="N113" s="226">
        <f t="shared" si="27"/>
        <v>0</v>
      </c>
      <c r="O113" s="226">
        <f t="shared" si="27"/>
        <v>0</v>
      </c>
      <c r="P113" s="226">
        <f t="shared" si="27"/>
        <v>0</v>
      </c>
      <c r="Q113" s="226">
        <f t="shared" si="27"/>
        <v>0</v>
      </c>
      <c r="R113" s="226">
        <f t="shared" si="27"/>
        <v>0</v>
      </c>
      <c r="S113" s="226">
        <f t="shared" si="27"/>
        <v>0</v>
      </c>
    </row>
    <row r="114" spans="7:19">
      <c r="H114" s="102" t="s">
        <v>255</v>
      </c>
      <c r="I114" s="102"/>
      <c r="J114" s="102"/>
      <c r="K114" s="102"/>
      <c r="L114" s="102"/>
      <c r="M114" s="102"/>
      <c r="N114" s="102"/>
      <c r="O114" s="102"/>
      <c r="P114" s="102"/>
      <c r="Q114" s="102"/>
      <c r="R114" s="102"/>
      <c r="S114" s="102"/>
    </row>
    <row r="115" spans="7:19">
      <c r="G115" s="115" t="s">
        <v>259</v>
      </c>
      <c r="H115" s="154">
        <f t="shared" ref="H115:S115" si="28">-H57/(H31+0.000001)</f>
        <v>0</v>
      </c>
      <c r="I115" s="154">
        <f t="shared" si="28"/>
        <v>0</v>
      </c>
      <c r="J115" s="154">
        <f t="shared" si="28"/>
        <v>0</v>
      </c>
      <c r="K115" s="154">
        <f t="shared" si="28"/>
        <v>0</v>
      </c>
      <c r="L115" s="154">
        <f t="shared" si="28"/>
        <v>0</v>
      </c>
      <c r="M115" s="154">
        <f t="shared" si="28"/>
        <v>0</v>
      </c>
      <c r="N115" s="154">
        <f t="shared" si="28"/>
        <v>0</v>
      </c>
      <c r="O115" s="154">
        <f t="shared" si="28"/>
        <v>0</v>
      </c>
      <c r="P115" s="154">
        <f t="shared" si="28"/>
        <v>0</v>
      </c>
      <c r="Q115" s="154">
        <f t="shared" si="28"/>
        <v>0</v>
      </c>
      <c r="R115" s="154">
        <f t="shared" si="28"/>
        <v>0</v>
      </c>
      <c r="S115" s="154">
        <f t="shared" si="28"/>
        <v>0</v>
      </c>
    </row>
    <row r="116" spans="7:19">
      <c r="G116" s="115" t="s">
        <v>259</v>
      </c>
      <c r="H116" s="154">
        <f t="shared" ref="H116:S116" si="29">H55/(H33+0.000001)</f>
        <v>0</v>
      </c>
      <c r="I116" s="154">
        <f t="shared" si="29"/>
        <v>0</v>
      </c>
      <c r="J116" s="154">
        <f t="shared" si="29"/>
        <v>0</v>
      </c>
      <c r="K116" s="154">
        <f t="shared" si="29"/>
        <v>0</v>
      </c>
      <c r="L116" s="154">
        <f t="shared" si="29"/>
        <v>0</v>
      </c>
      <c r="M116" s="154">
        <f t="shared" si="29"/>
        <v>0</v>
      </c>
      <c r="N116" s="154">
        <f t="shared" si="29"/>
        <v>0</v>
      </c>
      <c r="O116" s="154">
        <f t="shared" si="29"/>
        <v>0</v>
      </c>
      <c r="P116" s="154">
        <f t="shared" si="29"/>
        <v>0</v>
      </c>
      <c r="Q116" s="154">
        <f t="shared" si="29"/>
        <v>0</v>
      </c>
      <c r="R116" s="154">
        <f t="shared" si="29"/>
        <v>0</v>
      </c>
      <c r="S116" s="154">
        <f t="shared" si="29"/>
        <v>0</v>
      </c>
    </row>
    <row r="117" spans="7:19">
      <c r="G117" s="154" t="s">
        <v>258</v>
      </c>
      <c r="H117" s="229">
        <f>SIGN(H115+0.000000000001)*SIGN(H116+0.000000000001)</f>
        <v>1</v>
      </c>
      <c r="I117" s="229">
        <f t="shared" ref="I117:S117" si="30">SIGN(I115+0.000000000001)*SIGN(I116+0.000000000001)</f>
        <v>1</v>
      </c>
      <c r="J117" s="229">
        <f t="shared" si="30"/>
        <v>1</v>
      </c>
      <c r="K117" s="229">
        <f t="shared" si="30"/>
        <v>1</v>
      </c>
      <c r="L117" s="229">
        <f t="shared" si="30"/>
        <v>1</v>
      </c>
      <c r="M117" s="229">
        <f t="shared" si="30"/>
        <v>1</v>
      </c>
      <c r="N117" s="229">
        <f t="shared" si="30"/>
        <v>1</v>
      </c>
      <c r="O117" s="229">
        <f t="shared" si="30"/>
        <v>1</v>
      </c>
      <c r="P117" s="229">
        <f t="shared" si="30"/>
        <v>1</v>
      </c>
      <c r="Q117" s="229">
        <f t="shared" si="30"/>
        <v>1</v>
      </c>
      <c r="R117" s="229">
        <f t="shared" si="30"/>
        <v>1</v>
      </c>
      <c r="S117" s="229">
        <f t="shared" si="30"/>
        <v>1</v>
      </c>
    </row>
    <row r="118" spans="7:19">
      <c r="G118" s="154" t="s">
        <v>257</v>
      </c>
      <c r="H118" s="230">
        <f>IF(H117*MIN(ABS(H115),ABS(H116))&gt;1,0,H117*MIN(ABS(H115),ABS(H116)))</f>
        <v>0</v>
      </c>
      <c r="I118" s="230">
        <f t="shared" ref="I118:S118" si="31">IF(I117*MIN(ABS(I115),ABS(I116))&gt;1,0,I117*MIN(ABS(I115),ABS(I116)))</f>
        <v>0</v>
      </c>
      <c r="J118" s="230">
        <f t="shared" si="31"/>
        <v>0</v>
      </c>
      <c r="K118" s="230">
        <f t="shared" si="31"/>
        <v>0</v>
      </c>
      <c r="L118" s="230">
        <f t="shared" si="31"/>
        <v>0</v>
      </c>
      <c r="M118" s="230">
        <f t="shared" si="31"/>
        <v>0</v>
      </c>
      <c r="N118" s="230">
        <f t="shared" si="31"/>
        <v>0</v>
      </c>
      <c r="O118" s="230">
        <f t="shared" si="31"/>
        <v>0</v>
      </c>
      <c r="P118" s="230">
        <f t="shared" si="31"/>
        <v>0</v>
      </c>
      <c r="Q118" s="230">
        <f t="shared" si="31"/>
        <v>0</v>
      </c>
      <c r="R118" s="230">
        <f t="shared" si="31"/>
        <v>0</v>
      </c>
      <c r="S118" s="230">
        <f t="shared" si="31"/>
        <v>0</v>
      </c>
    </row>
    <row r="119" spans="7:19">
      <c r="H119" s="102" t="s">
        <v>256</v>
      </c>
      <c r="I119" s="102"/>
      <c r="J119" s="102"/>
      <c r="K119" s="102"/>
      <c r="L119" s="102"/>
      <c r="M119" s="102"/>
      <c r="N119" s="102"/>
      <c r="O119" s="102"/>
      <c r="P119" s="102"/>
      <c r="Q119" s="102"/>
      <c r="R119" s="102"/>
      <c r="S119" s="102"/>
    </row>
    <row r="120" spans="7:19">
      <c r="G120" s="149" t="s">
        <v>259</v>
      </c>
      <c r="H120" s="226">
        <f t="shared" ref="H120:S120" si="32">H56/(H31+0.000001)</f>
        <v>0</v>
      </c>
      <c r="I120" s="226">
        <f t="shared" si="32"/>
        <v>0</v>
      </c>
      <c r="J120" s="226">
        <f t="shared" si="32"/>
        <v>0</v>
      </c>
      <c r="K120" s="226">
        <f t="shared" si="32"/>
        <v>0</v>
      </c>
      <c r="L120" s="226">
        <f t="shared" si="32"/>
        <v>0</v>
      </c>
      <c r="M120" s="226">
        <f t="shared" si="32"/>
        <v>0</v>
      </c>
      <c r="N120" s="226">
        <f t="shared" si="32"/>
        <v>0</v>
      </c>
      <c r="O120" s="226">
        <f t="shared" si="32"/>
        <v>0</v>
      </c>
      <c r="P120" s="226">
        <f t="shared" si="32"/>
        <v>0</v>
      </c>
      <c r="Q120" s="226">
        <f t="shared" si="32"/>
        <v>0</v>
      </c>
      <c r="R120" s="226">
        <f t="shared" si="32"/>
        <v>0</v>
      </c>
      <c r="S120" s="226">
        <f t="shared" si="32"/>
        <v>0</v>
      </c>
    </row>
    <row r="121" spans="7:19">
      <c r="G121" s="149" t="s">
        <v>259</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c r="G122" s="81" t="s">
        <v>258</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c r="G123" s="81" t="s">
        <v>257</v>
      </c>
      <c r="H123" s="226">
        <f>IF(H122*MIN(ABS(H120),ABS(H121))&gt;1,0,H122*MIN(ABS(H120),ABS(H121)))</f>
        <v>0</v>
      </c>
      <c r="I123" s="226">
        <f t="shared" ref="I123:S123" si="35">IF(I122*MIN(ABS(I120),ABS(I121))&gt;1,0,I122*MIN(ABS(I120),ABS(I121)))</f>
        <v>0</v>
      </c>
      <c r="J123" s="226">
        <f t="shared" si="35"/>
        <v>0</v>
      </c>
      <c r="K123" s="226">
        <f t="shared" si="35"/>
        <v>0</v>
      </c>
      <c r="L123" s="226">
        <f t="shared" si="35"/>
        <v>0</v>
      </c>
      <c r="M123" s="226">
        <f t="shared" si="35"/>
        <v>0</v>
      </c>
      <c r="N123" s="226">
        <f t="shared" si="35"/>
        <v>0</v>
      </c>
      <c r="O123" s="226">
        <f t="shared" si="35"/>
        <v>0</v>
      </c>
      <c r="P123" s="226">
        <f t="shared" si="35"/>
        <v>0</v>
      </c>
      <c r="Q123" s="226">
        <f t="shared" si="35"/>
        <v>0</v>
      </c>
      <c r="R123" s="226">
        <f t="shared" si="35"/>
        <v>0</v>
      </c>
      <c r="S123" s="226">
        <f t="shared" si="35"/>
        <v>0</v>
      </c>
    </row>
    <row r="124" spans="7:19">
      <c r="G124" s="149"/>
    </row>
    <row r="125" spans="7:19">
      <c r="H125" s="144"/>
      <c r="I125" s="144"/>
      <c r="J125" s="144"/>
      <c r="K125" s="144"/>
      <c r="L125" s="144"/>
      <c r="M125" s="144"/>
      <c r="N125" s="144"/>
      <c r="O125" s="144"/>
      <c r="P125" s="144"/>
      <c r="Q125" s="144"/>
      <c r="R125" s="144"/>
      <c r="S125" s="144"/>
    </row>
    <row r="126" spans="7:19">
      <c r="H126" s="226"/>
      <c r="I126" s="226"/>
      <c r="J126" s="226"/>
      <c r="K126" s="226"/>
      <c r="L126" s="226"/>
      <c r="M126" s="226"/>
      <c r="N126" s="226"/>
      <c r="O126" s="226"/>
      <c r="P126" s="226"/>
      <c r="Q126" s="226"/>
      <c r="R126" s="226"/>
      <c r="S126" s="226"/>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Summary</vt:lpstr>
      <vt:lpstr>CSs and Loads</vt:lpstr>
      <vt:lpstr>Edit History</vt:lpstr>
      <vt:lpstr>CS_1 Y carriage and table</vt:lpstr>
      <vt:lpstr>CS_2 vertical axis</vt:lpstr>
      <vt:lpstr>CS_3 Z-Axis</vt:lpstr>
      <vt:lpstr>CS_4 Y-Axis</vt:lpstr>
      <vt:lpstr>CS_5 Bridge</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vector>
  </TitlesOfParts>
  <Company>MIT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Alex Slocum</cp:lastModifiedBy>
  <dcterms:created xsi:type="dcterms:W3CDTF">2015-07-18T14:59:20Z</dcterms:created>
  <dcterms:modified xsi:type="dcterms:W3CDTF">2017-03-13T17:40:54Z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ies>
</file>