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560" yWindow="560" windowWidth="25040" windowHeight="15500" tabRatio="500"/>
  </bookViews>
  <sheets>
    <sheet name="CO2 from coal and cement" sheetId="1" r:id="rId1"/>
    <sheet name="Metals in coal ash" sheetId="2" r:id="rId2"/>
    <sheet name="pumped hydro" sheetId="3" r:id="rId3"/>
    <sheet name="ash to ballast" sheetId="4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4" l="1"/>
  <c r="B10" i="4"/>
  <c r="B11" i="4"/>
  <c r="B12" i="4"/>
  <c r="B9" i="4"/>
  <c r="B13" i="4"/>
  <c r="B54" i="1"/>
  <c r="B56" i="1"/>
  <c r="C58" i="1"/>
  <c r="B66" i="1"/>
  <c r="B65" i="1"/>
  <c r="B64" i="1"/>
  <c r="B63" i="1"/>
  <c r="C17" i="2"/>
  <c r="E17" i="2"/>
  <c r="D17" i="2"/>
  <c r="B55" i="1"/>
  <c r="B53" i="1"/>
  <c r="C4" i="2"/>
  <c r="E4" i="2"/>
  <c r="C5" i="2"/>
  <c r="E5" i="2"/>
  <c r="C6" i="2"/>
  <c r="E6" i="2"/>
  <c r="C7" i="2"/>
  <c r="E7" i="2"/>
  <c r="C8" i="2"/>
  <c r="E8" i="2"/>
  <c r="C9" i="2"/>
  <c r="E9" i="2"/>
  <c r="C10" i="2"/>
  <c r="E10" i="2"/>
  <c r="C11" i="2"/>
  <c r="E11" i="2"/>
  <c r="C12" i="2"/>
  <c r="E12" i="2"/>
  <c r="C13" i="2"/>
  <c r="E13" i="2"/>
  <c r="C14" i="2"/>
  <c r="E14" i="2"/>
  <c r="C15" i="2"/>
  <c r="E15" i="2"/>
  <c r="C16" i="2"/>
  <c r="E16" i="2"/>
  <c r="C18" i="2"/>
  <c r="E18" i="2"/>
  <c r="B21" i="2"/>
  <c r="B23" i="2"/>
  <c r="E22" i="1"/>
  <c r="B3" i="4"/>
  <c r="B2" i="4"/>
  <c r="B4" i="4"/>
  <c r="B12" i="3"/>
  <c r="B13" i="3"/>
  <c r="B23" i="3"/>
  <c r="B27" i="3"/>
  <c r="B18" i="3"/>
  <c r="B4" i="3"/>
  <c r="B5" i="3"/>
  <c r="B25" i="3"/>
  <c r="B7" i="3"/>
  <c r="B16" i="3"/>
  <c r="B19" i="3"/>
  <c r="B20" i="3"/>
  <c r="E21" i="1"/>
  <c r="B43" i="1"/>
  <c r="B45" i="1"/>
  <c r="B57" i="1"/>
  <c r="B48" i="1"/>
  <c r="B46" i="1"/>
  <c r="B47" i="1"/>
  <c r="B49" i="1"/>
  <c r="B50" i="1"/>
  <c r="B40" i="1"/>
  <c r="E23" i="1"/>
  <c r="E24" i="1"/>
</calcChain>
</file>

<file path=xl/sharedStrings.xml><?xml version="1.0" encoding="utf-8"?>
<sst xmlns="http://schemas.openxmlformats.org/spreadsheetml/2006/main" count="210" uniqueCount="146">
  <si>
    <t>U.S. Total</t>
  </si>
  <si>
    <t>cents/kWh</t>
  </si>
  <si>
    <t>Net summer capacity (MW)</t>
  </si>
  <si>
    <t>Net generation (MWh)</t>
  </si>
  <si>
    <t>Total retail sales (MWh)</t>
  </si>
  <si>
    <t>https://www.eia.gov/electricity/state/</t>
  </si>
  <si>
    <t>US-TOTAL</t>
  </si>
  <si>
    <t>Electric Utility</t>
  </si>
  <si>
    <t>All Sources</t>
  </si>
  <si>
    <t>Coal</t>
  </si>
  <si>
    <t>Geothermal</t>
  </si>
  <si>
    <t>Natural Gas</t>
  </si>
  <si>
    <t>Other Biomass</t>
  </si>
  <si>
    <t>Other Gases</t>
  </si>
  <si>
    <t>Other</t>
  </si>
  <si>
    <t>Petroleum</t>
  </si>
  <si>
    <t>Wood and Wood Derived Fuels</t>
  </si>
  <si>
    <t>2015 data</t>
  </si>
  <si>
    <t>CO2
(Metric Tons)</t>
  </si>
  <si>
    <t>US-Total</t>
  </si>
  <si>
    <t>Total Electric Power Industry</t>
  </si>
  <si>
    <t>Total</t>
  </si>
  <si>
    <t>Pumped Storage</t>
  </si>
  <si>
    <t>Hydroelectric Conventional</t>
  </si>
  <si>
    <t>Nuclear</t>
  </si>
  <si>
    <t>Solar Thermal and Photovoltaic</t>
  </si>
  <si>
    <t>Wind</t>
  </si>
  <si>
    <t>ENERGY SOURCE</t>
  </si>
  <si>
    <t>GENERATION (Megawatthours)</t>
  </si>
  <si>
    <t>kg CO2/kWhr</t>
  </si>
  <si>
    <t>https://www.eia.gov/tools/faqs/faq.php?id=74&amp;t=11</t>
  </si>
  <si>
    <t>Cement production in 2015  (tonnes)</t>
  </si>
  <si>
    <t>kg CO2/kg cement</t>
  </si>
  <si>
    <t>% of cement that could be replaced by coal ash</t>
  </si>
  <si>
    <t>Tonnes of CO2 offset</t>
  </si>
  <si>
    <t>Tonnes of CO2 produced annualy by burning coal to make electricity</t>
  </si>
  <si>
    <t>https://en.wikipedia.org/wiki/Cement_industry_in_the_United_States</t>
  </si>
  <si>
    <t>CO2 savings</t>
  </si>
  <si>
    <t>Tonnes of cement that does not have to be produced</t>
  </si>
  <si>
    <t>Tonnes of coal ash used</t>
  </si>
  <si>
    <t>Additional Tonnes of cement for infrastructure</t>
  </si>
  <si>
    <t>Infrastructure rebuild</t>
  </si>
  <si>
    <t>Total CO2 from producing cement (tonnes)</t>
  </si>
  <si>
    <t>Tonnes of ash produced for all coal power generated</t>
  </si>
  <si>
    <t>Heavy metal</t>
  </si>
  <si>
    <t>Arsenic</t>
  </si>
  <si>
    <t>ppm concentration in coal ash</t>
  </si>
  <si>
    <t>Potential tonnes per year from coal ash</t>
  </si>
  <si>
    <t>price per tonne</t>
  </si>
  <si>
    <t>reference</t>
  </si>
  <si>
    <t>https://minerals.usgs.gov/minerals/pubs/commodity/arsenic/myb1-2011-arsen.pdf</t>
  </si>
  <si>
    <t>Boron</t>
  </si>
  <si>
    <t>Beryllium</t>
  </si>
  <si>
    <t>Chromium</t>
  </si>
  <si>
    <t>Cadmium</t>
  </si>
  <si>
    <t>Cobalt</t>
  </si>
  <si>
    <t>Lead</t>
  </si>
  <si>
    <t>Manganese</t>
  </si>
  <si>
    <t>Mercury</t>
  </si>
  <si>
    <t>Molybdenum</t>
  </si>
  <si>
    <t>Selenium</t>
  </si>
  <si>
    <t>Strontium</t>
  </si>
  <si>
    <t>Thallium</t>
  </si>
  <si>
    <t>Vanadium</t>
  </si>
  <si>
    <t>https://pubs.usgs.gov/bul/1084k/report.pdf</t>
  </si>
  <si>
    <t>https://minerals.usgs.gov/minerals/pubs/commodity/beryllium/mcs-2015-beryl.pdf</t>
  </si>
  <si>
    <t>price per ton for low grade, can be 10x for higher purity. Also this is 10x current US consumption</t>
  </si>
  <si>
    <t>http://www.sciencedirect.com/science/article/pii/0009254192901928</t>
  </si>
  <si>
    <t>https://minerals.usgs.gov/minerals/pubs/commodity/boron/mcs-2017-boron.pdf</t>
  </si>
  <si>
    <t>https://pubs.usgs.gov/fs/2015/3037/pdf/fs2015-3037.pdf</t>
  </si>
  <si>
    <t>https://minerals.usgs.gov/minerals/pubs/commodity/cadmium/mcs-2016-cadmi.pdf</t>
  </si>
  <si>
    <t>https://minerals.usgs.gov/minerals/pubs/mcs/2011/mcs2011.pdf</t>
  </si>
  <si>
    <t>https://link.springer.com/article/10.1007/BF00282962</t>
  </si>
  <si>
    <t>http://www.sciencedirect.com/science/article/pii/S0026265X08000349</t>
  </si>
  <si>
    <t>https://www.purdue.edu/discoverypark/energy/assets/pdfs/cctr/outreach/Basics2-Mercury-Mar07.pdf</t>
  </si>
  <si>
    <t>http://www.sciencedirect.com/science/article/pii/S0003267000886031</t>
  </si>
  <si>
    <t>https://core.ac.uk/download/pdf/36181791.pdf</t>
  </si>
  <si>
    <t>http://pubs.acs.org/doi/pdf/10.1021/acs.est.6b01751</t>
  </si>
  <si>
    <t>System:  create upper reservoir and use coal mine as lower reservoir for pumped hydro system</t>
  </si>
  <si>
    <t>This simple order of magnitude estimate does not consider capital and operating costs…</t>
  </si>
  <si>
    <t>Coal mined each year (tons)</t>
  </si>
  <si>
    <t>https://www.eia.gov/coal/annual/</t>
  </si>
  <si>
    <t>tonnes</t>
  </si>
  <si>
    <t xml:space="preserve">cost per ton of coal mined </t>
  </si>
  <si>
    <t>total value of coal mined</t>
  </si>
  <si>
    <t>Round trip efficiency of pumped hydro system</t>
  </si>
  <si>
    <t>Energy storage potential (Joules)</t>
  </si>
  <si>
    <t>GigaWatt-hours electric energy storage</t>
  </si>
  <si>
    <t>Wholesale value of peak power from energy stored ($/kWh)</t>
  </si>
  <si>
    <t>Annual value</t>
  </si>
  <si>
    <t>But the results are interesting enoughg to warrant a detailed study!</t>
  </si>
  <si>
    <t>Height difference between upper and lower reservoir (m)</t>
  </si>
  <si>
    <t>Cycles per day</t>
  </si>
  <si>
    <t>Daily value of energy stored</t>
  </si>
  <si>
    <t>Years of operation to equal annual value of coal mined</t>
  </si>
  <si>
    <t>GW wind to be annual installed to match storage created at coal mines</t>
  </si>
  <si>
    <t>capacity factor</t>
  </si>
  <si>
    <t>Size of wind turbine (peak MW)</t>
  </si>
  <si>
    <t>Number of wind turbines to be installed by evolving coal companies</t>
  </si>
  <si>
    <t>GW peak windpower per GWh energy stored in coal mine pumped hydro plants</t>
  </si>
  <si>
    <t>Net annual 24/7 renewable electric power potential from evolved coal companies GW)</t>
  </si>
  <si>
    <t>Pumped Hydro energy storage system at coal mine sites</t>
  </si>
  <si>
    <t>Wind Power tied to coal power where excess power goes to pumped hydro plants</t>
  </si>
  <si>
    <t>annual total electric</t>
  </si>
  <si>
    <t>average wholesale price $/kWh</t>
  </si>
  <si>
    <t>Bank density coal (kg/m^3)</t>
  </si>
  <si>
    <t>kg CO2/kWhr from coal</t>
  </si>
  <si>
    <t>kWhr/person per day</t>
  </si>
  <si>
    <t>Potential value</t>
  </si>
  <si>
    <t>Total potential value of metals extracted from ash</t>
  </si>
  <si>
    <t>Extraction efficiency</t>
  </si>
  <si>
    <t>MWh of coal electricity produced</t>
  </si>
  <si>
    <t>Ash produced (tonnes/MWh)</t>
  </si>
  <si>
    <t>Likely potential value</t>
  </si>
  <si>
    <t>Net effective tonnes of CO2 produced by burning coal for electricity and using ash in cement production</t>
  </si>
  <si>
    <t>Potential % increase in cement production</t>
  </si>
  <si>
    <t>Tonnes ash (fly and bottom) from one tonne of coal</t>
  </si>
  <si>
    <t>MWh/tonne coal burned</t>
  </si>
  <si>
    <t>MWh/tonne</t>
  </si>
  <si>
    <t>tonnes of coal</t>
  </si>
  <si>
    <t>http://www.traditionaloven.com/tutorials/energy/convert-mega-watt-hr-mwh-to-ton-coal-equivalent-toe.html</t>
  </si>
  <si>
    <t>https://www.eia.gov/energyexplained/index.cfm?page=coal_use</t>
  </si>
  <si>
    <t xml:space="preserve">tonnes of coal per </t>
  </si>
  <si>
    <t>% of all coal ash produced that could be taken up by extra cement needed for infrastrcture rebuild</t>
  </si>
  <si>
    <t>Uranium</t>
  </si>
  <si>
    <t>https://pubs.usgs.gov/fs/1997/fs163-97/FS-163-97.html</t>
  </si>
  <si>
    <t>Tonnes of Ballast required per floating offshore wind turbine</t>
  </si>
  <si>
    <t>GWs of installed offshore wind per year goal</t>
  </si>
  <si>
    <t>Nameplate power capacity of oofshore wind turbine (MW)</t>
  </si>
  <si>
    <t>Units to be installed per year</t>
  </si>
  <si>
    <t>% of fly ash produced per year that can be used by offshore wind</t>
  </si>
  <si>
    <t>Tonnes of ash per year for ballast</t>
  </si>
  <si>
    <t>$/tonne concrete for ballast</t>
  </si>
  <si>
    <t>kg CO2/person per day for coal generated electricity</t>
  </si>
  <si>
    <t>check circular --tonnes coal mined per year</t>
  </si>
  <si>
    <t>Tonnes of CO2/year/person</t>
  </si>
  <si>
    <t>Tonnes of ash/person per year</t>
  </si>
  <si>
    <t>kWhr per day from turbine</t>
  </si>
  <si>
    <t>Capacity factor</t>
  </si>
  <si>
    <t>Number of people served by turbine</t>
  </si>
  <si>
    <t>Number of years people's ash needed to meet turbine ballast needs</t>
  </si>
  <si>
    <t>Nameplate size of Floating Wind Turbine turbine (MW)</t>
  </si>
  <si>
    <t>Tonnes of ballast needed per FWT</t>
  </si>
  <si>
    <t>energy CO2 ash cement metals_v5.xls</t>
  </si>
  <si>
    <t>study of numbers associated with coal</t>
  </si>
  <si>
    <t>by Alex Slocum, May 2017  slocum@mit.edu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</si>
</sst>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%"/>
    <numFmt numFmtId="166" formatCode="_(* #,##0_);_(* \(#,##0\);_(* &quot;-&quot;??_);_(@_)"/>
    <numFmt numFmtId="167" formatCode="_(&quot;$&quot;* #,##0_);_(&quot;$&quot;* \(#,##0\);_(&quot;$&quot;* &quot;-&quot;??_);_(@_)"/>
    <numFmt numFmtId="168" formatCode="_(* #,##0_);_(* \(#,##0\);_(* &quot;-&quot;???_);_(@_)"/>
    <numFmt numFmtId="169" formatCode="_([$$-409]* #,##0.00_);_([$$-409]* \(#,##0.00\);_([$$-409]* &quot;-&quot;??_);_(@_)"/>
    <numFmt numFmtId="170" formatCode="[$$-409]#,##0_);\([$$-409]#,##0\)"/>
    <numFmt numFmtId="171" formatCode="_(* #,##0.0_);_(* \(#,##0.0\);_(* &quot;-&quot;??_);_(@_)"/>
    <numFmt numFmtId="172" formatCode="_(* #,##0.0_);_(* \(#,##0.0\);_(* &quot;-&quot;?_);_(@_)"/>
    <numFmt numFmtId="173" formatCode="_(* #,##0_);_(* \(#,##0\);_(* &quot;-&quot;?_);_(@_)"/>
    <numFmt numFmtId="174" formatCode="_(&quot;$&quot;* #,##0.000_);_(&quot;$&quot;* \(#,##0.000\);_(&quot;$&quot;* &quot;-&quot;??_);_(@_)"/>
    <numFmt numFmtId="175" formatCode="_([$$-409]* #,##0_);_([$$-409]* \(#,##0\);_([$$-409]* &quot;-&quot;_);_(@_)"/>
    <numFmt numFmtId="176" formatCode="#,##0.00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36"/>
      <scheme val="minor"/>
    </font>
    <font>
      <b/>
      <sz val="12"/>
      <color rgb="FF333333"/>
      <name val="Inherit"/>
    </font>
    <font>
      <u/>
      <sz val="12"/>
      <color theme="10"/>
      <name val="Calibri"/>
      <family val="2"/>
      <charset val="136"/>
      <scheme val="minor"/>
    </font>
    <font>
      <b/>
      <sz val="12"/>
      <color rgb="FF333333"/>
      <name val="Arial"/>
    </font>
    <font>
      <sz val="10"/>
      <color indexed="8"/>
      <name val="Arial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Calibri"/>
      <scheme val="minor"/>
    </font>
    <font>
      <u/>
      <sz val="12"/>
      <color theme="11"/>
      <name val="Calibri"/>
      <family val="2"/>
      <charset val="136"/>
      <scheme val="minor"/>
    </font>
    <font>
      <b/>
      <sz val="12"/>
      <color theme="1"/>
      <name val="Calibri"/>
      <family val="2"/>
      <scheme val="minor"/>
    </font>
    <font>
      <sz val="20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EAF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4"/>
    <xf numFmtId="0" fontId="2" fillId="0" borderId="0" xfId="0" applyFont="1"/>
    <xf numFmtId="3" fontId="2" fillId="0" borderId="0" xfId="0" applyNumberFormat="1" applyFont="1"/>
    <xf numFmtId="0" fontId="4" fillId="0" borderId="0" xfId="0" applyFont="1"/>
    <xf numFmtId="0" fontId="5" fillId="0" borderId="1" xfId="0" applyNumberFormat="1" applyFont="1" applyFill="1" applyBorder="1" applyAlignment="1" applyProtection="1">
      <alignment horizontal="center" wrapText="1"/>
    </xf>
    <xf numFmtId="1" fontId="5" fillId="0" borderId="1" xfId="0" applyNumberFormat="1" applyFont="1" applyFill="1" applyBorder="1" applyAlignment="1" applyProtection="1">
      <alignment horizontal="center" wrapText="1"/>
    </xf>
    <xf numFmtId="3" fontId="5" fillId="0" borderId="1" xfId="0" applyNumberFormat="1" applyFont="1" applyFill="1" applyBorder="1" applyAlignment="1" applyProtection="1">
      <alignment horizontal="right" wrapText="1"/>
    </xf>
    <xf numFmtId="3" fontId="6" fillId="2" borderId="1" xfId="0" applyNumberFormat="1" applyFont="1" applyFill="1" applyBorder="1" applyAlignment="1" applyProtection="1">
      <alignment horizontal="center" vertical="top" wrapText="1"/>
    </xf>
    <xf numFmtId="0" fontId="7" fillId="3" borderId="2" xfId="0" quotePrefix="1" applyNumberFormat="1" applyFont="1" applyFill="1" applyBorder="1" applyAlignment="1">
      <alignment horizontal="center"/>
    </xf>
    <xf numFmtId="0" fontId="8" fillId="3" borderId="2" xfId="0" quotePrefix="1" applyNumberFormat="1" applyFont="1" applyFill="1" applyBorder="1" applyAlignment="1">
      <alignment horizontal="center"/>
    </xf>
    <xf numFmtId="3" fontId="8" fillId="4" borderId="2" xfId="0" quotePrefix="1" applyNumberFormat="1" applyFont="1" applyFill="1" applyBorder="1"/>
    <xf numFmtId="0" fontId="7" fillId="5" borderId="2" xfId="0" quotePrefix="1" applyNumberFormat="1" applyFont="1" applyFill="1" applyBorder="1" applyAlignment="1">
      <alignment horizontal="center" vertical="center"/>
    </xf>
    <xf numFmtId="3" fontId="7" fillId="5" borderId="2" xfId="0" quotePrefix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8" fillId="3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167" fontId="0" fillId="0" borderId="0" xfId="0" applyNumberFormat="1"/>
    <xf numFmtId="0" fontId="0" fillId="0" borderId="2" xfId="0" applyBorder="1"/>
    <xf numFmtId="166" fontId="0" fillId="0" borderId="2" xfId="1" applyNumberFormat="1" applyFont="1" applyBorder="1"/>
    <xf numFmtId="0" fontId="0" fillId="0" borderId="2" xfId="0" applyBorder="1" applyAlignment="1">
      <alignment horizontal="left" indent="1"/>
    </xf>
    <xf numFmtId="168" fontId="0" fillId="0" borderId="2" xfId="0" applyNumberFormat="1" applyBorder="1"/>
    <xf numFmtId="169" fontId="0" fillId="0" borderId="2" xfId="2" applyNumberFormat="1" applyFont="1" applyBorder="1"/>
    <xf numFmtId="170" fontId="0" fillId="0" borderId="2" xfId="2" applyNumberFormat="1" applyFont="1" applyBorder="1"/>
    <xf numFmtId="0" fontId="0" fillId="0" borderId="2" xfId="0" applyBorder="1" applyAlignment="1">
      <alignment horizontal="left"/>
    </xf>
    <xf numFmtId="171" fontId="0" fillId="0" borderId="2" xfId="0" applyNumberFormat="1" applyBorder="1"/>
    <xf numFmtId="169" fontId="0" fillId="0" borderId="2" xfId="0" applyNumberFormat="1" applyBorder="1"/>
    <xf numFmtId="167" fontId="0" fillId="0" borderId="2" xfId="2" applyNumberFormat="1" applyFont="1" applyBorder="1"/>
    <xf numFmtId="167" fontId="0" fillId="0" borderId="2" xfId="0" applyNumberFormat="1" applyBorder="1"/>
    <xf numFmtId="1" fontId="0" fillId="0" borderId="2" xfId="0" applyNumberFormat="1" applyBorder="1"/>
    <xf numFmtId="172" fontId="0" fillId="0" borderId="2" xfId="0" applyNumberFormat="1" applyBorder="1"/>
    <xf numFmtId="43" fontId="0" fillId="0" borderId="2" xfId="0" applyNumberFormat="1" applyBorder="1"/>
    <xf numFmtId="173" fontId="0" fillId="0" borderId="2" xfId="0" applyNumberFormat="1" applyBorder="1"/>
    <xf numFmtId="174" fontId="0" fillId="0" borderId="2" xfId="2" applyNumberFormat="1" applyFont="1" applyBorder="1"/>
    <xf numFmtId="166" fontId="0" fillId="0" borderId="2" xfId="0" applyNumberFormat="1" applyBorder="1"/>
    <xf numFmtId="2" fontId="0" fillId="0" borderId="0" xfId="0" applyNumberFormat="1"/>
    <xf numFmtId="9" fontId="0" fillId="0" borderId="2" xfId="3" applyFon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175" fontId="0" fillId="0" borderId="2" xfId="2" applyNumberFormat="1" applyFont="1" applyBorder="1" applyAlignment="1">
      <alignment horizontal="center"/>
    </xf>
    <xf numFmtId="167" fontId="0" fillId="0" borderId="2" xfId="2" applyNumberFormat="1" applyFont="1" applyBorder="1" applyAlignment="1">
      <alignment horizontal="center"/>
    </xf>
    <xf numFmtId="175" fontId="0" fillId="0" borderId="2" xfId="0" applyNumberFormat="1" applyBorder="1"/>
    <xf numFmtId="171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9" fillId="0" borderId="2" xfId="0" applyNumberFormat="1" applyFont="1" applyFill="1" applyBorder="1" applyAlignment="1">
      <alignment horizontal="left"/>
    </xf>
    <xf numFmtId="11" fontId="0" fillId="0" borderId="2" xfId="0" applyNumberFormat="1" applyBorder="1"/>
    <xf numFmtId="3" fontId="0" fillId="0" borderId="2" xfId="0" applyNumberFormat="1" applyBorder="1"/>
    <xf numFmtId="165" fontId="0" fillId="0" borderId="2" xfId="3" applyNumberFormat="1" applyFont="1" applyBorder="1"/>
    <xf numFmtId="0" fontId="0" fillId="0" borderId="2" xfId="0" applyFill="1" applyBorder="1" applyAlignment="1">
      <alignment horizontal="left"/>
    </xf>
    <xf numFmtId="2" fontId="0" fillId="0" borderId="2" xfId="0" applyNumberFormat="1" applyBorder="1"/>
    <xf numFmtId="164" fontId="0" fillId="0" borderId="2" xfId="0" applyNumberFormat="1" applyBorder="1"/>
    <xf numFmtId="176" fontId="0" fillId="0" borderId="2" xfId="0" applyNumberFormat="1" applyBorder="1"/>
    <xf numFmtId="175" fontId="0" fillId="0" borderId="2" xfId="2" applyNumberFormat="1" applyFont="1" applyBorder="1"/>
    <xf numFmtId="43" fontId="12" fillId="0" borderId="0" xfId="0" applyNumberFormat="1" applyFont="1" applyAlignment="1">
      <alignment horizontal="left" vertical="center" indent="4"/>
    </xf>
    <xf numFmtId="0" fontId="0" fillId="0" borderId="3" xfId="0" applyFill="1" applyBorder="1"/>
  </cellXfs>
  <cellStyles count="53">
    <cellStyle name="Comma" xfId="1" builtinId="3"/>
    <cellStyle name="Currency" xfId="2" builtinId="4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Hyperlink" xfId="4" builtinId="8"/>
    <cellStyle name="Normal" xfId="0" builtinId="0"/>
    <cellStyle name="Percent" xfId="3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ia.gov/electricity/state/unitedstat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minerals.usgs.gov/minerals/pubs/commodity/arsenic/myb1-2011-arsen.pdf" TargetMode="External"/><Relationship Id="rId2" Type="http://schemas.openxmlformats.org/officeDocument/2006/relationships/hyperlink" Target="https://pubs.usgs.gov/bul/1084k/report.pdf" TargetMode="External"/><Relationship Id="rId3" Type="http://schemas.openxmlformats.org/officeDocument/2006/relationships/hyperlink" Target="https://minerals.usgs.gov/minerals/pubs/commodity/beryllium/mcs-2015-bery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zoomScale="150" zoomScaleNormal="150" zoomScalePageLayoutView="150" workbookViewId="0">
      <selection activeCell="A7" sqref="A7"/>
    </sheetView>
  </sheetViews>
  <sheetFormatPr baseColWidth="10" defaultColWidth="11" defaultRowHeight="15" x14ac:dyDescent="0"/>
  <cols>
    <col min="1" max="1" width="87.6640625" customWidth="1"/>
    <col min="2" max="2" width="15" customWidth="1"/>
    <col min="3" max="3" width="35.5" customWidth="1"/>
    <col min="4" max="4" width="21.6640625" bestFit="1" customWidth="1"/>
    <col min="5" max="5" width="23.83203125" bestFit="1" customWidth="1"/>
    <col min="6" max="6" width="15.1640625" customWidth="1"/>
  </cols>
  <sheetData>
    <row r="1" spans="1:6">
      <c r="A1" t="s">
        <v>143</v>
      </c>
    </row>
    <row r="2" spans="1:6">
      <c r="A2" t="s">
        <v>144</v>
      </c>
    </row>
    <row r="3" spans="1:6">
      <c r="A3" t="s">
        <v>145</v>
      </c>
    </row>
    <row r="5" spans="1:6">
      <c r="A5" t="s">
        <v>17</v>
      </c>
    </row>
    <row r="6" spans="1:6">
      <c r="B6" s="4" t="s">
        <v>1</v>
      </c>
      <c r="C6" s="4" t="s">
        <v>2</v>
      </c>
      <c r="D6" s="4" t="s">
        <v>3</v>
      </c>
      <c r="E6" s="4" t="s">
        <v>4</v>
      </c>
    </row>
    <row r="7" spans="1:6" ht="16">
      <c r="A7" s="1" t="s">
        <v>0</v>
      </c>
      <c r="B7" s="2">
        <v>10.41</v>
      </c>
      <c r="C7" s="3">
        <v>1064055</v>
      </c>
      <c r="D7" s="3">
        <v>4077600939</v>
      </c>
      <c r="E7" s="3">
        <v>3758992390</v>
      </c>
      <c r="F7" t="s">
        <v>5</v>
      </c>
    </row>
    <row r="10" spans="1:6" ht="24">
      <c r="D10" s="8" t="s">
        <v>18</v>
      </c>
    </row>
    <row r="11" spans="1:6">
      <c r="A11" s="5" t="s">
        <v>6</v>
      </c>
      <c r="B11" s="6" t="s">
        <v>7</v>
      </c>
      <c r="C11" s="5" t="s">
        <v>8</v>
      </c>
      <c r="D11" s="7">
        <v>1278868392</v>
      </c>
    </row>
    <row r="12" spans="1:6">
      <c r="A12" s="5" t="s">
        <v>6</v>
      </c>
      <c r="B12" s="6" t="s">
        <v>7</v>
      </c>
      <c r="C12" s="5" t="s">
        <v>9</v>
      </c>
      <c r="D12" s="7">
        <v>1000033404</v>
      </c>
    </row>
    <row r="13" spans="1:6">
      <c r="A13" s="5" t="s">
        <v>6</v>
      </c>
      <c r="B13" s="6" t="s">
        <v>7</v>
      </c>
      <c r="C13" s="5" t="s">
        <v>10</v>
      </c>
      <c r="D13" s="7">
        <v>28638</v>
      </c>
    </row>
    <row r="14" spans="1:6">
      <c r="A14" s="5" t="s">
        <v>6</v>
      </c>
      <c r="B14" s="6" t="s">
        <v>7</v>
      </c>
      <c r="C14" s="5" t="s">
        <v>11</v>
      </c>
      <c r="D14" s="7">
        <v>260749246</v>
      </c>
    </row>
    <row r="15" spans="1:6">
      <c r="A15" s="5" t="s">
        <v>6</v>
      </c>
      <c r="B15" s="6" t="s">
        <v>7</v>
      </c>
      <c r="C15" s="5" t="s">
        <v>12</v>
      </c>
      <c r="D15" s="7">
        <v>0</v>
      </c>
    </row>
    <row r="16" spans="1:6">
      <c r="A16" s="5" t="s">
        <v>6</v>
      </c>
      <c r="B16" s="6" t="s">
        <v>7</v>
      </c>
      <c r="C16" s="5" t="s">
        <v>13</v>
      </c>
      <c r="D16" s="7">
        <v>0</v>
      </c>
    </row>
    <row r="17" spans="1:7">
      <c r="A17" s="5" t="s">
        <v>6</v>
      </c>
      <c r="B17" s="6" t="s">
        <v>7</v>
      </c>
      <c r="C17" s="5" t="s">
        <v>14</v>
      </c>
      <c r="D17" s="7">
        <v>518695</v>
      </c>
    </row>
    <row r="18" spans="1:7">
      <c r="A18" s="5" t="s">
        <v>6</v>
      </c>
      <c r="B18" s="6" t="s">
        <v>7</v>
      </c>
      <c r="C18" s="5" t="s">
        <v>15</v>
      </c>
      <c r="D18" s="7">
        <v>17538409</v>
      </c>
      <c r="F18" t="s">
        <v>119</v>
      </c>
      <c r="G18">
        <v>900000000</v>
      </c>
    </row>
    <row r="19" spans="1:7">
      <c r="A19" s="5" t="s">
        <v>6</v>
      </c>
      <c r="B19" s="6" t="s">
        <v>7</v>
      </c>
      <c r="C19" s="5" t="s">
        <v>16</v>
      </c>
      <c r="D19" s="7">
        <v>0</v>
      </c>
    </row>
    <row r="20" spans="1:7" ht="24">
      <c r="C20" s="12" t="s">
        <v>27</v>
      </c>
      <c r="D20" s="13" t="s">
        <v>28</v>
      </c>
      <c r="E20" s="17" t="s">
        <v>29</v>
      </c>
      <c r="F20" t="s">
        <v>118</v>
      </c>
      <c r="G20" t="s">
        <v>30</v>
      </c>
    </row>
    <row r="21" spans="1:7">
      <c r="A21" s="9" t="s">
        <v>19</v>
      </c>
      <c r="B21" s="10" t="s">
        <v>20</v>
      </c>
      <c r="C21" s="10" t="s">
        <v>21</v>
      </c>
      <c r="D21" s="11">
        <v>4077600939</v>
      </c>
      <c r="E21" s="14">
        <f>D11*1000/(D21*1000)</f>
        <v>0.31363255284947833</v>
      </c>
    </row>
    <row r="22" spans="1:7">
      <c r="A22" s="9" t="s">
        <v>19</v>
      </c>
      <c r="B22" s="10" t="s">
        <v>20</v>
      </c>
      <c r="C22" s="10" t="s">
        <v>9</v>
      </c>
      <c r="D22" s="11">
        <v>1352398197</v>
      </c>
      <c r="E22" s="14">
        <f>D12*1000/(D22*1000)</f>
        <v>0.73945189088417573</v>
      </c>
    </row>
    <row r="23" spans="1:7">
      <c r="A23" s="9" t="s">
        <v>19</v>
      </c>
      <c r="B23" s="10" t="s">
        <v>20</v>
      </c>
      <c r="C23" s="10" t="s">
        <v>11</v>
      </c>
      <c r="D23" s="11">
        <v>1333482110</v>
      </c>
      <c r="E23" s="14">
        <f>D14*1000/(D23*1000)</f>
        <v>0.19554011564504603</v>
      </c>
    </row>
    <row r="24" spans="1:7">
      <c r="A24" s="9" t="s">
        <v>19</v>
      </c>
      <c r="B24" s="10" t="s">
        <v>20</v>
      </c>
      <c r="C24" s="10" t="s">
        <v>10</v>
      </c>
      <c r="D24" s="11">
        <v>15917575</v>
      </c>
      <c r="E24" s="14">
        <f>D13*1000/(D24*1000)</f>
        <v>1.7991433996698617E-3</v>
      </c>
    </row>
    <row r="25" spans="1:7">
      <c r="A25" s="9" t="s">
        <v>19</v>
      </c>
      <c r="B25" s="10" t="s">
        <v>20</v>
      </c>
      <c r="C25" s="10" t="s">
        <v>22</v>
      </c>
      <c r="D25" s="11">
        <v>-5091488</v>
      </c>
    </row>
    <row r="26" spans="1:7">
      <c r="A26" s="9" t="s">
        <v>19</v>
      </c>
      <c r="B26" s="10" t="s">
        <v>20</v>
      </c>
      <c r="C26" s="10" t="s">
        <v>23</v>
      </c>
      <c r="D26" s="11">
        <v>249080085</v>
      </c>
    </row>
    <row r="28" spans="1:7">
      <c r="A28" s="9" t="s">
        <v>19</v>
      </c>
      <c r="B28" s="10" t="s">
        <v>20</v>
      </c>
      <c r="C28" s="10" t="s">
        <v>24</v>
      </c>
      <c r="D28" s="11">
        <v>797177877</v>
      </c>
    </row>
    <row r="29" spans="1:7">
      <c r="A29" s="9" t="s">
        <v>19</v>
      </c>
      <c r="B29" s="10" t="s">
        <v>20</v>
      </c>
      <c r="C29" s="10" t="s">
        <v>13</v>
      </c>
      <c r="D29" s="11">
        <v>13116698</v>
      </c>
    </row>
    <row r="30" spans="1:7">
      <c r="A30" s="9" t="s">
        <v>19</v>
      </c>
      <c r="B30" s="10" t="s">
        <v>20</v>
      </c>
      <c r="C30" s="10" t="s">
        <v>14</v>
      </c>
      <c r="D30" s="11">
        <v>14027807</v>
      </c>
    </row>
    <row r="31" spans="1:7">
      <c r="A31" s="9" t="s">
        <v>19</v>
      </c>
      <c r="B31" s="10" t="s">
        <v>20</v>
      </c>
      <c r="C31" s="10" t="s">
        <v>15</v>
      </c>
      <c r="D31" s="11">
        <v>28248749</v>
      </c>
    </row>
    <row r="32" spans="1:7">
      <c r="A32" s="9" t="s">
        <v>19</v>
      </c>
      <c r="B32" s="10" t="s">
        <v>20</v>
      </c>
      <c r="C32" s="10" t="s">
        <v>25</v>
      </c>
      <c r="D32" s="11">
        <v>24892904</v>
      </c>
    </row>
    <row r="33" spans="1:4">
      <c r="A33" s="9" t="s">
        <v>19</v>
      </c>
      <c r="B33" s="10" t="s">
        <v>20</v>
      </c>
      <c r="C33" s="10" t="s">
        <v>12</v>
      </c>
      <c r="D33" s="11">
        <v>21703372</v>
      </c>
    </row>
    <row r="34" spans="1:4">
      <c r="A34" s="9" t="s">
        <v>19</v>
      </c>
      <c r="B34" s="10" t="s">
        <v>20</v>
      </c>
      <c r="C34" s="10" t="s">
        <v>26</v>
      </c>
      <c r="D34" s="11">
        <v>190718548</v>
      </c>
    </row>
    <row r="35" spans="1:4">
      <c r="A35" s="9" t="s">
        <v>19</v>
      </c>
      <c r="B35" s="10" t="s">
        <v>20</v>
      </c>
      <c r="C35" s="10" t="s">
        <v>16</v>
      </c>
      <c r="D35" s="11">
        <v>41928506</v>
      </c>
    </row>
    <row r="37" spans="1:4">
      <c r="B37" s="15"/>
    </row>
    <row r="38" spans="1:4">
      <c r="A38" s="46" t="s">
        <v>31</v>
      </c>
      <c r="B38" s="20">
        <v>82800000</v>
      </c>
      <c r="C38" t="s">
        <v>36</v>
      </c>
    </row>
    <row r="39" spans="1:4">
      <c r="A39" s="21" t="s">
        <v>32</v>
      </c>
      <c r="B39" s="19">
        <v>1</v>
      </c>
    </row>
    <row r="40" spans="1:4">
      <c r="A40" s="21" t="s">
        <v>42</v>
      </c>
      <c r="B40" s="20">
        <f>B39*B38</f>
        <v>82800000</v>
      </c>
    </row>
    <row r="41" spans="1:4">
      <c r="A41" s="19" t="s">
        <v>41</v>
      </c>
      <c r="B41" s="47"/>
    </row>
    <row r="42" spans="1:4">
      <c r="A42" s="21" t="s">
        <v>115</v>
      </c>
      <c r="B42" s="37">
        <v>0.5</v>
      </c>
    </row>
    <row r="43" spans="1:4">
      <c r="A43" s="21" t="s">
        <v>40</v>
      </c>
      <c r="B43" s="20">
        <f>B42*B38</f>
        <v>41400000</v>
      </c>
    </row>
    <row r="44" spans="1:4">
      <c r="A44" s="21" t="s">
        <v>33</v>
      </c>
      <c r="B44" s="19">
        <v>0.5</v>
      </c>
    </row>
    <row r="45" spans="1:4">
      <c r="A45" s="21" t="s">
        <v>39</v>
      </c>
      <c r="B45" s="20">
        <f>B44*B43</f>
        <v>20700000</v>
      </c>
    </row>
    <row r="46" spans="1:4">
      <c r="A46" s="21" t="s">
        <v>38</v>
      </c>
      <c r="B46" s="20">
        <f>B43-B45</f>
        <v>20700000</v>
      </c>
    </row>
    <row r="47" spans="1:4">
      <c r="A47" s="21" t="s">
        <v>34</v>
      </c>
      <c r="B47" s="20">
        <f>B46*B39</f>
        <v>20700000</v>
      </c>
    </row>
    <row r="48" spans="1:4">
      <c r="A48" s="19" t="s">
        <v>35</v>
      </c>
      <c r="B48" s="48">
        <f>D12</f>
        <v>1000033404</v>
      </c>
      <c r="C48" t="s">
        <v>5</v>
      </c>
    </row>
    <row r="49" spans="1:6">
      <c r="A49" s="21" t="s">
        <v>114</v>
      </c>
      <c r="B49" s="20">
        <f>D12-B47</f>
        <v>979333404</v>
      </c>
      <c r="D49" t="s">
        <v>122</v>
      </c>
      <c r="F49" t="s">
        <v>121</v>
      </c>
    </row>
    <row r="50" spans="1:6">
      <c r="A50" s="21" t="s">
        <v>37</v>
      </c>
      <c r="B50" s="49">
        <f>(D12-B49)/D12</f>
        <v>2.069930856029685E-2</v>
      </c>
    </row>
    <row r="52" spans="1:6">
      <c r="A52" s="50" t="s">
        <v>117</v>
      </c>
      <c r="B52" s="51">
        <v>2.2000000000000002</v>
      </c>
      <c r="C52" t="s">
        <v>120</v>
      </c>
    </row>
    <row r="53" spans="1:6">
      <c r="A53" s="19" t="s">
        <v>116</v>
      </c>
      <c r="B53" s="52">
        <f>0.58*107/900</f>
        <v>6.8955555555555548E-2</v>
      </c>
    </row>
    <row r="54" spans="1:6">
      <c r="A54" s="19" t="s">
        <v>112</v>
      </c>
      <c r="B54" s="53">
        <f>B53/B52</f>
        <v>3.134343434343434E-2</v>
      </c>
    </row>
    <row r="55" spans="1:6">
      <c r="A55" s="19" t="s">
        <v>111</v>
      </c>
      <c r="B55" s="48">
        <f>D22</f>
        <v>1352398197</v>
      </c>
    </row>
    <row r="56" spans="1:6">
      <c r="A56" s="19" t="s">
        <v>43</v>
      </c>
      <c r="B56" s="20">
        <f>B54*B55</f>
        <v>42388804.093848482</v>
      </c>
    </row>
    <row r="57" spans="1:6">
      <c r="A57" s="19" t="s">
        <v>123</v>
      </c>
      <c r="B57" s="37">
        <f>B45/B56</f>
        <v>0.48833649456517719</v>
      </c>
    </row>
    <row r="58" spans="1:6" ht="25">
      <c r="A58" s="56" t="s">
        <v>134</v>
      </c>
      <c r="C58" s="55">
        <f>B56/B53</f>
        <v>614726453.18181825</v>
      </c>
    </row>
    <row r="59" spans="1:6">
      <c r="A59" s="19" t="s">
        <v>126</v>
      </c>
      <c r="B59" s="19">
        <v>5700</v>
      </c>
    </row>
    <row r="60" spans="1:6">
      <c r="A60" s="21" t="s">
        <v>132</v>
      </c>
      <c r="B60" s="27">
        <v>100</v>
      </c>
    </row>
    <row r="61" spans="1:6">
      <c r="A61" s="19" t="s">
        <v>128</v>
      </c>
      <c r="B61" s="19">
        <v>5</v>
      </c>
    </row>
    <row r="62" spans="1:6">
      <c r="A62" s="19" t="s">
        <v>127</v>
      </c>
      <c r="B62" s="19">
        <v>5</v>
      </c>
    </row>
    <row r="63" spans="1:6">
      <c r="A63" s="19" t="s">
        <v>129</v>
      </c>
      <c r="B63" s="19">
        <f>B62*1000/B61</f>
        <v>1000</v>
      </c>
    </row>
    <row r="64" spans="1:6">
      <c r="A64" s="19" t="s">
        <v>131</v>
      </c>
      <c r="B64" s="20">
        <f>B63*B59</f>
        <v>5700000</v>
      </c>
    </row>
    <row r="65" spans="1:2">
      <c r="A65" s="19" t="s">
        <v>130</v>
      </c>
      <c r="B65" s="37">
        <f>B64/B56</f>
        <v>0.13446946951794733</v>
      </c>
    </row>
    <row r="66" spans="1:2">
      <c r="A66" s="19" t="s">
        <v>108</v>
      </c>
      <c r="B66" s="54">
        <f>B64*B60</f>
        <v>570000000</v>
      </c>
    </row>
  </sheetData>
  <hyperlinks>
    <hyperlink ref="A7" r:id="rId1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3"/>
  <sheetViews>
    <sheetView topLeftCell="A4" zoomScale="150" zoomScaleNormal="150" zoomScalePageLayoutView="150" workbookViewId="0">
      <selection activeCell="B23" sqref="A21:B23"/>
    </sheetView>
  </sheetViews>
  <sheetFormatPr baseColWidth="10" defaultColWidth="11" defaultRowHeight="15" x14ac:dyDescent="0"/>
  <cols>
    <col min="1" max="1" width="48.5" customWidth="1"/>
    <col min="2" max="2" width="17.1640625" customWidth="1"/>
    <col min="3" max="3" width="18.6640625" customWidth="1"/>
    <col min="4" max="4" width="16" customWidth="1"/>
    <col min="5" max="5" width="17.33203125" customWidth="1"/>
  </cols>
  <sheetData>
    <row r="3" spans="1:8" ht="30">
      <c r="A3" s="38" t="s">
        <v>44</v>
      </c>
      <c r="B3" s="39" t="s">
        <v>46</v>
      </c>
      <c r="C3" s="39" t="s">
        <v>47</v>
      </c>
      <c r="D3" s="38" t="s">
        <v>48</v>
      </c>
      <c r="E3" s="38" t="s">
        <v>108</v>
      </c>
      <c r="F3" s="16" t="s">
        <v>49</v>
      </c>
    </row>
    <row r="4" spans="1:8">
      <c r="A4" s="38" t="s">
        <v>45</v>
      </c>
      <c r="B4" s="40">
        <v>100</v>
      </c>
      <c r="C4" s="45">
        <f>'CO2 from coal and cement'!$B$56/1000000*B4</f>
        <v>4238.8804093848485</v>
      </c>
      <c r="D4" s="41">
        <v>1600</v>
      </c>
      <c r="E4" s="42">
        <f>D4*C4</f>
        <v>6782208.6550157573</v>
      </c>
      <c r="F4" s="1" t="s">
        <v>50</v>
      </c>
    </row>
    <row r="5" spans="1:8">
      <c r="A5" s="38" t="s">
        <v>52</v>
      </c>
      <c r="B5" s="40">
        <v>15</v>
      </c>
      <c r="C5" s="45">
        <f>'CO2 from coal and cement'!$B$56/1000000*B5</f>
        <v>635.83206140772722</v>
      </c>
      <c r="D5" s="41">
        <v>500000</v>
      </c>
      <c r="E5" s="42">
        <f>D5*C5</f>
        <v>317916030.70386362</v>
      </c>
      <c r="F5" s="1" t="s">
        <v>64</v>
      </c>
      <c r="G5" s="1" t="s">
        <v>65</v>
      </c>
      <c r="H5" t="s">
        <v>66</v>
      </c>
    </row>
    <row r="6" spans="1:8">
      <c r="A6" s="38" t="s">
        <v>51</v>
      </c>
      <c r="B6" s="40">
        <v>170</v>
      </c>
      <c r="C6" s="45">
        <f>'CO2 from coal and cement'!$B$56/1000000*B6</f>
        <v>7206.096695954242</v>
      </c>
      <c r="D6" s="43">
        <v>500</v>
      </c>
      <c r="E6" s="42">
        <f t="shared" ref="E6:E18" si="0">D6*C6</f>
        <v>3603048.3479771209</v>
      </c>
      <c r="F6" t="s">
        <v>67</v>
      </c>
      <c r="G6" t="s">
        <v>68</v>
      </c>
    </row>
    <row r="7" spans="1:8">
      <c r="A7" s="38" t="s">
        <v>54</v>
      </c>
      <c r="B7" s="40">
        <v>0.2</v>
      </c>
      <c r="C7" s="44">
        <f>'CO2 from coal and cement'!$B$56/1000000*B7</f>
        <v>8.4777608187696973</v>
      </c>
      <c r="D7" s="43">
        <v>1000</v>
      </c>
      <c r="E7" s="42">
        <f t="shared" si="0"/>
        <v>8477.7608187696969</v>
      </c>
      <c r="F7" t="s">
        <v>69</v>
      </c>
      <c r="G7" t="s">
        <v>70</v>
      </c>
    </row>
    <row r="8" spans="1:8">
      <c r="A8" s="38" t="s">
        <v>53</v>
      </c>
      <c r="B8" s="40">
        <v>9</v>
      </c>
      <c r="C8" s="45">
        <f>'CO2 from coal and cement'!$B$56/1000000*B8</f>
        <v>381.49923684463636</v>
      </c>
      <c r="D8" s="43">
        <v>2000</v>
      </c>
      <c r="E8" s="42">
        <f t="shared" si="0"/>
        <v>762998.47368927277</v>
      </c>
      <c r="F8" t="s">
        <v>69</v>
      </c>
      <c r="G8" t="s">
        <v>71</v>
      </c>
    </row>
    <row r="9" spans="1:8">
      <c r="A9" s="38" t="s">
        <v>55</v>
      </c>
      <c r="B9" s="40">
        <v>3</v>
      </c>
      <c r="C9" s="45">
        <f>'CO2 from coal and cement'!$B$56/1000000*B9</f>
        <v>127.16641228154546</v>
      </c>
      <c r="D9" s="43">
        <v>40000</v>
      </c>
      <c r="E9" s="42">
        <f t="shared" si="0"/>
        <v>5086656.4912618184</v>
      </c>
      <c r="F9" t="s">
        <v>69</v>
      </c>
      <c r="G9" t="s">
        <v>71</v>
      </c>
    </row>
    <row r="10" spans="1:8">
      <c r="A10" s="38" t="s">
        <v>56</v>
      </c>
      <c r="B10" s="40">
        <v>300</v>
      </c>
      <c r="C10" s="45">
        <f>'CO2 from coal and cement'!$B$56/1000000*B10</f>
        <v>12716.641228154545</v>
      </c>
      <c r="D10" s="43">
        <v>2000</v>
      </c>
      <c r="E10" s="42">
        <f t="shared" si="0"/>
        <v>25433282.456309091</v>
      </c>
      <c r="F10" t="s">
        <v>72</v>
      </c>
      <c r="G10" t="s">
        <v>71</v>
      </c>
    </row>
    <row r="11" spans="1:8">
      <c r="A11" s="38" t="s">
        <v>57</v>
      </c>
      <c r="B11" s="40">
        <v>350</v>
      </c>
      <c r="C11" s="45">
        <f>'CO2 from coal and cement'!$B$56/1000000*B11</f>
        <v>14836.08143284697</v>
      </c>
      <c r="D11" s="43">
        <v>8</v>
      </c>
      <c r="E11" s="42">
        <f t="shared" si="0"/>
        <v>118688.65146277576</v>
      </c>
      <c r="F11" t="s">
        <v>73</v>
      </c>
      <c r="G11" t="s">
        <v>71</v>
      </c>
    </row>
    <row r="12" spans="1:8">
      <c r="A12" s="38" t="s">
        <v>58</v>
      </c>
      <c r="B12" s="40">
        <v>0.3</v>
      </c>
      <c r="C12" s="44">
        <f>'CO2 from coal and cement'!$B$56/1000000*B12</f>
        <v>12.716641228154545</v>
      </c>
      <c r="D12" s="43">
        <v>25000</v>
      </c>
      <c r="E12" s="42">
        <f t="shared" si="0"/>
        <v>317916.03070386365</v>
      </c>
      <c r="F12" t="s">
        <v>71</v>
      </c>
      <c r="G12" t="s">
        <v>74</v>
      </c>
    </row>
    <row r="13" spans="1:8">
      <c r="A13" s="38" t="s">
        <v>59</v>
      </c>
      <c r="B13" s="40">
        <v>2</v>
      </c>
      <c r="C13" s="45">
        <f>'CO2 from coal and cement'!$B$56/1000000*B13</f>
        <v>84.77760818769697</v>
      </c>
      <c r="D13" s="43">
        <v>17000</v>
      </c>
      <c r="E13" s="42">
        <f t="shared" si="0"/>
        <v>1441219.3391908484</v>
      </c>
      <c r="F13" t="s">
        <v>69</v>
      </c>
    </row>
    <row r="14" spans="1:8">
      <c r="A14" s="38" t="s">
        <v>60</v>
      </c>
      <c r="B14" s="40">
        <v>3</v>
      </c>
      <c r="C14" s="45">
        <f>'CO2 from coal and cement'!$B$56/1000000*B14</f>
        <v>127.16641228154546</v>
      </c>
      <c r="D14" s="43">
        <v>75000</v>
      </c>
      <c r="E14" s="42">
        <f t="shared" si="0"/>
        <v>9537480.9211159088</v>
      </c>
      <c r="F14" t="s">
        <v>69</v>
      </c>
      <c r="G14" t="s">
        <v>71</v>
      </c>
    </row>
    <row r="15" spans="1:8">
      <c r="A15" s="38" t="s">
        <v>61</v>
      </c>
      <c r="B15" s="40">
        <v>800</v>
      </c>
      <c r="C15" s="45">
        <f>'CO2 from coal and cement'!$B$56/1000000*B15</f>
        <v>33911.043275078788</v>
      </c>
      <c r="D15" s="43">
        <v>45</v>
      </c>
      <c r="E15" s="42">
        <f t="shared" si="0"/>
        <v>1525996.9473785455</v>
      </c>
      <c r="F15" t="s">
        <v>71</v>
      </c>
      <c r="G15" t="s">
        <v>75</v>
      </c>
    </row>
    <row r="16" spans="1:8">
      <c r="A16" s="38" t="s">
        <v>62</v>
      </c>
      <c r="B16" s="40">
        <v>3</v>
      </c>
      <c r="C16" s="45">
        <f>'CO2 from coal and cement'!$B$56/1000000*B16</f>
        <v>127.16641228154546</v>
      </c>
      <c r="D16" s="43">
        <v>6000000</v>
      </c>
      <c r="E16" s="42">
        <f t="shared" si="0"/>
        <v>762998473.68927276</v>
      </c>
      <c r="F16" t="s">
        <v>76</v>
      </c>
      <c r="G16" t="s">
        <v>77</v>
      </c>
    </row>
    <row r="17" spans="1:7">
      <c r="A17" s="38" t="s">
        <v>124</v>
      </c>
      <c r="B17" s="40">
        <v>1</v>
      </c>
      <c r="C17" s="45">
        <f>'CO2 from coal and cement'!$B$56/1000000*B17</f>
        <v>42.388804093848485</v>
      </c>
      <c r="D17" s="43">
        <f>100000</f>
        <v>100000</v>
      </c>
      <c r="E17" s="42">
        <f t="shared" si="0"/>
        <v>4238880.4093848485</v>
      </c>
      <c r="F17" t="s">
        <v>125</v>
      </c>
    </row>
    <row r="18" spans="1:7">
      <c r="A18" s="38" t="s">
        <v>63</v>
      </c>
      <c r="B18" s="40">
        <v>20</v>
      </c>
      <c r="C18" s="45">
        <f>'CO2 from coal and cement'!$B$56/1000000*B18</f>
        <v>847.77608187696967</v>
      </c>
      <c r="D18" s="43">
        <v>13000</v>
      </c>
      <c r="E18" s="42">
        <f t="shared" si="0"/>
        <v>11021089.064400606</v>
      </c>
      <c r="F18" t="s">
        <v>69</v>
      </c>
      <c r="G18" t="s">
        <v>71</v>
      </c>
    </row>
    <row r="21" spans="1:7">
      <c r="A21" s="25" t="s">
        <v>109</v>
      </c>
      <c r="B21" s="29">
        <f>SUM(E4:E18)</f>
        <v>1150792447.9418457</v>
      </c>
    </row>
    <row r="22" spans="1:7">
      <c r="A22" s="25" t="s">
        <v>110</v>
      </c>
      <c r="B22" s="37">
        <v>0.5</v>
      </c>
      <c r="E22" s="18"/>
    </row>
    <row r="23" spans="1:7">
      <c r="A23" s="25" t="s">
        <v>113</v>
      </c>
      <c r="B23" s="29">
        <f>B21*B22</f>
        <v>575396223.97092283</v>
      </c>
    </row>
  </sheetData>
  <hyperlinks>
    <hyperlink ref="F4" r:id="rId1"/>
    <hyperlink ref="F5" r:id="rId2"/>
    <hyperlink ref="G5" r:id="rId3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A4" workbookViewId="0">
      <selection activeCell="B37" sqref="B37"/>
    </sheetView>
  </sheetViews>
  <sheetFormatPr baseColWidth="10" defaultRowHeight="15" x14ac:dyDescent="0"/>
  <cols>
    <col min="1" max="1" width="76" customWidth="1"/>
    <col min="2" max="2" width="34.6640625" customWidth="1"/>
  </cols>
  <sheetData>
    <row r="1" spans="1:3">
      <c r="A1" t="s">
        <v>78</v>
      </c>
    </row>
    <row r="2" spans="1:3">
      <c r="A2" t="s">
        <v>79</v>
      </c>
    </row>
    <row r="4" spans="1:3">
      <c r="A4" s="19" t="s">
        <v>80</v>
      </c>
      <c r="B4" s="20">
        <f>900000000/100</f>
        <v>9000000</v>
      </c>
      <c r="C4" t="s">
        <v>81</v>
      </c>
    </row>
    <row r="5" spans="1:3">
      <c r="A5" s="21" t="s">
        <v>82</v>
      </c>
      <c r="B5" s="22">
        <f>B4*2000*0.454/1000</f>
        <v>8172000</v>
      </c>
    </row>
    <row r="6" spans="1:3">
      <c r="A6" s="21" t="s">
        <v>83</v>
      </c>
      <c r="B6" s="23">
        <v>31</v>
      </c>
    </row>
    <row r="7" spans="1:3">
      <c r="A7" s="21" t="s">
        <v>84</v>
      </c>
      <c r="B7" s="24">
        <f>B6*B4</f>
        <v>279000000</v>
      </c>
    </row>
    <row r="8" spans="1:3">
      <c r="A8" s="25" t="s">
        <v>101</v>
      </c>
      <c r="B8" s="24"/>
    </row>
    <row r="9" spans="1:3">
      <c r="A9" s="21" t="s">
        <v>91</v>
      </c>
      <c r="B9" s="19">
        <v>300</v>
      </c>
    </row>
    <row r="10" spans="1:3">
      <c r="A10" s="21" t="s">
        <v>85</v>
      </c>
      <c r="B10" s="19">
        <v>0.8</v>
      </c>
    </row>
    <row r="11" spans="1:3">
      <c r="A11" s="21" t="s">
        <v>105</v>
      </c>
      <c r="B11" s="19">
        <v>1400</v>
      </c>
    </row>
    <row r="12" spans="1:3">
      <c r="A12" s="21" t="s">
        <v>86</v>
      </c>
      <c r="B12" s="35">
        <f>B10*B9*B5*1000/B11</f>
        <v>1400914285.7142856</v>
      </c>
    </row>
    <row r="13" spans="1:3">
      <c r="A13" s="21" t="s">
        <v>87</v>
      </c>
      <c r="B13" s="26">
        <f>B12/3600/1000000000</f>
        <v>3.8914285714285711E-4</v>
      </c>
    </row>
    <row r="14" spans="1:3">
      <c r="A14" s="21" t="s">
        <v>88</v>
      </c>
      <c r="B14" s="27">
        <v>0.1</v>
      </c>
    </row>
    <row r="15" spans="1:3">
      <c r="A15" s="21" t="s">
        <v>92</v>
      </c>
      <c r="B15" s="19">
        <v>1</v>
      </c>
    </row>
    <row r="16" spans="1:3">
      <c r="A16" s="21" t="s">
        <v>93</v>
      </c>
      <c r="B16" s="28">
        <f>B15*B14*B13*1000000</f>
        <v>38.914285714285711</v>
      </c>
    </row>
    <row r="17" spans="1:2">
      <c r="A17" s="21" t="s">
        <v>104</v>
      </c>
      <c r="B17" s="34">
        <v>0.05</v>
      </c>
    </row>
    <row r="18" spans="1:2">
      <c r="A18" s="21" t="s">
        <v>103</v>
      </c>
      <c r="B18" s="28">
        <f>B27*B24*B26*1000*24*B17*365</f>
        <v>11931.12</v>
      </c>
    </row>
    <row r="19" spans="1:2">
      <c r="A19" s="21" t="s">
        <v>89</v>
      </c>
      <c r="B19" s="29">
        <f>365*B16</f>
        <v>14203.714285714284</v>
      </c>
    </row>
    <row r="20" spans="1:2">
      <c r="A20" s="21" t="s">
        <v>94</v>
      </c>
      <c r="B20" s="30">
        <f>B7/B19</f>
        <v>19642.749381449521</v>
      </c>
    </row>
    <row r="21" spans="1:2">
      <c r="A21" s="19" t="s">
        <v>102</v>
      </c>
      <c r="B21" s="19"/>
    </row>
    <row r="22" spans="1:2">
      <c r="A22" s="21" t="s">
        <v>99</v>
      </c>
      <c r="B22" s="19">
        <v>0.2</v>
      </c>
    </row>
    <row r="23" spans="1:2">
      <c r="A23" s="21" t="s">
        <v>95</v>
      </c>
      <c r="B23" s="31">
        <f>B22*B13</f>
        <v>7.7828571428571427E-5</v>
      </c>
    </row>
    <row r="24" spans="1:2">
      <c r="A24" s="21" t="s">
        <v>97</v>
      </c>
      <c r="B24" s="31">
        <v>3</v>
      </c>
    </row>
    <row r="25" spans="1:2">
      <c r="A25" s="21" t="s">
        <v>100</v>
      </c>
      <c r="B25" s="32">
        <f>B26*B23</f>
        <v>2.7239999999999997E-5</v>
      </c>
    </row>
    <row r="26" spans="1:2">
      <c r="A26" s="21" t="s">
        <v>96</v>
      </c>
      <c r="B26" s="19">
        <v>0.35</v>
      </c>
    </row>
    <row r="27" spans="1:2">
      <c r="A27" s="21" t="s">
        <v>98</v>
      </c>
      <c r="B27" s="33">
        <f>B23*1000/B24</f>
        <v>2.5942857142857143E-2</v>
      </c>
    </row>
    <row r="34" spans="1:1">
      <c r="A34" t="s">
        <v>90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3"/>
  <sheetViews>
    <sheetView workbookViewId="0">
      <selection activeCell="A6" sqref="A6:B13"/>
    </sheetView>
  </sheetViews>
  <sheetFormatPr baseColWidth="10" defaultRowHeight="15" x14ac:dyDescent="0"/>
  <cols>
    <col min="1" max="1" width="64.6640625" customWidth="1"/>
  </cols>
  <sheetData>
    <row r="2" spans="1:2">
      <c r="A2" t="s">
        <v>133</v>
      </c>
      <c r="B2" s="36">
        <f>B6*B3</f>
        <v>17.746845381220218</v>
      </c>
    </row>
    <row r="3" spans="1:2">
      <c r="A3" t="s">
        <v>106</v>
      </c>
      <c r="B3" s="36">
        <f>'CO2 from coal and cement'!E22</f>
        <v>0.73945189088417573</v>
      </c>
    </row>
    <row r="4" spans="1:2">
      <c r="A4" t="s">
        <v>135</v>
      </c>
      <c r="B4" s="36">
        <f>365*B2/1000</f>
        <v>6.4775985641453797</v>
      </c>
    </row>
    <row r="6" spans="1:2">
      <c r="A6" s="19" t="s">
        <v>107</v>
      </c>
      <c r="B6" s="19">
        <v>24</v>
      </c>
    </row>
    <row r="7" spans="1:2">
      <c r="A7" s="19" t="s">
        <v>136</v>
      </c>
      <c r="B7" s="52">
        <f>B6*365*'CO2 from coal and cement'!B54/1000</f>
        <v>0.27456848484848484</v>
      </c>
    </row>
    <row r="8" spans="1:2">
      <c r="A8" s="19" t="s">
        <v>141</v>
      </c>
      <c r="B8" s="19">
        <v>5</v>
      </c>
    </row>
    <row r="9" spans="1:2">
      <c r="A9" s="19" t="s">
        <v>142</v>
      </c>
      <c r="B9" s="20">
        <f>'CO2 from coal and cement'!B59</f>
        <v>5700</v>
      </c>
    </row>
    <row r="10" spans="1:2">
      <c r="A10" s="19" t="s">
        <v>138</v>
      </c>
      <c r="B10" s="19">
        <f>0.4</f>
        <v>0.4</v>
      </c>
    </row>
    <row r="11" spans="1:2">
      <c r="A11" s="19" t="s">
        <v>137</v>
      </c>
      <c r="B11" s="19">
        <f>24*1000*B10*B8</f>
        <v>48000</v>
      </c>
    </row>
    <row r="12" spans="1:2">
      <c r="A12" s="19" t="s">
        <v>139</v>
      </c>
      <c r="B12" s="19">
        <f>B11/B6</f>
        <v>2000</v>
      </c>
    </row>
    <row r="13" spans="1:2">
      <c r="A13" s="19" t="s">
        <v>140</v>
      </c>
      <c r="B13" s="20">
        <f>B9/B7/B12</f>
        <v>10.379923979886897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CO2 from coal and cement</vt:lpstr>
      <vt:lpstr>Metals in coal ash</vt:lpstr>
      <vt:lpstr>pumped hydro</vt:lpstr>
      <vt:lpstr>ash to ballast</vt:lpstr>
    </vt:vector>
  </TitlesOfParts>
  <Company>Mechanical Engineering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Slocum</dc:creator>
  <cp:lastModifiedBy>Alex Slocum</cp:lastModifiedBy>
  <dcterms:created xsi:type="dcterms:W3CDTF">2017-04-23T12:46:07Z</dcterms:created>
  <dcterms:modified xsi:type="dcterms:W3CDTF">2017-05-15T21:02:16Z</dcterms:modified>
</cp:coreProperties>
</file>